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tabRatio="894" firstSheet="2" activeTab="2"/>
  </bookViews>
  <sheets>
    <sheet name="Sheet1" sheetId="1" state="hidden" r:id="rId1"/>
    <sheet name="Sheet 2" sheetId="2" state="hidden" r:id="rId2"/>
    <sheet name="Opći dio" sheetId="3" r:id="rId3"/>
    <sheet name="DONOS-ODNOS" sheetId="4" r:id="rId4"/>
    <sheet name="Opći dio prihodi" sheetId="5" r:id="rId5"/>
    <sheet name="Prihodi po izvorima fin." sheetId="6" r:id="rId6"/>
    <sheet name="Opći dio rashodi" sheetId="7" r:id="rId7"/>
    <sheet name="Rashodi po izvorima fin." sheetId="8" r:id="rId8"/>
    <sheet name="Rashodi po aktiv. i izv.fin." sheetId="9" r:id="rId9"/>
  </sheets>
  <definedNames>
    <definedName name="_xlnm.Print_Area" localSheetId="8">'Rashodi po aktiv. i izv.fin.'!$A$1:$G$213</definedName>
    <definedName name="_xlnm.Print_Area" localSheetId="7">'Rashodi po izvorima fin.'!$A$1:$G$301</definedName>
  </definedNames>
  <calcPr fullCalcOnLoad="1"/>
  <pivotCaches>
    <pivotCache cacheId="1" r:id="rId10"/>
  </pivotCaches>
</workbook>
</file>

<file path=xl/sharedStrings.xml><?xml version="1.0" encoding="utf-8"?>
<sst xmlns="http://schemas.openxmlformats.org/spreadsheetml/2006/main" count="2097" uniqueCount="1479">
  <si>
    <t>Financijski plan broj 325-000005/2017</t>
  </si>
  <si>
    <t>Naziv1</t>
  </si>
  <si>
    <t>Naziv2</t>
  </si>
  <si>
    <t>Naziv3</t>
  </si>
  <si>
    <t>Naziv4</t>
  </si>
  <si>
    <t>Naziv5</t>
  </si>
  <si>
    <t>Planirani iznos</t>
  </si>
  <si>
    <t>Realizirani iznos</t>
  </si>
  <si>
    <t>Plaćeni iznos</t>
  </si>
  <si>
    <t>Izvor financiranja</t>
  </si>
  <si>
    <t>Planirani iznos</t>
  </si>
  <si>
    <t>Realizirani iznos</t>
  </si>
  <si>
    <t>Plaćeni iznos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</si>
  <si>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</si>
  <si>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</si>
  <si>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</si>
  <si>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</si>
  <si>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</si>
  <si>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Pomoći EU (51)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</si>
  <si>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</si>
  <si>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</si>
  <si>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</si>
  <si>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</si>
  <si>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</si>
  <si>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</si>
  <si>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</si>
  <si>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</si>
  <si>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</si>
  <si>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</si>
  <si>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3111 PLAĆE ZA REDOVAN RAD - BRUTO</t>
  </si>
  <si>
    <t>Vlastiti prihodi</t>
  </si>
  <si>
    <t>202 PLAN RASHODA</t>
  </si>
  <si>
    <t>237 OBRAZOVANJE</t>
  </si>
  <si>
    <t>23701 RAZVOJ ODGOJNO OBRAZOVNOG SUSTAVA</t>
  </si>
  <si>
    <t>A679047 Europske integracije</t>
  </si>
  <si>
    <t>3121 OSTALI RASHODI ZA ZAPOSLENE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</si>
  <si>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</si>
  <si>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</si>
  <si>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</si>
  <si>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</si>
  <si>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</si>
  <si>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</si>
  <si>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Vlastiti prihodi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</si>
  <si>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</si>
  <si>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</si>
  <si>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</si>
  <si>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</si>
  <si>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</si>
  <si>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Pomoći EU (51)</t>
  </si>
  <si>
    <t>202 PLAN RASHODA</t>
  </si>
  <si>
    <t>237 OBRAZOVANJE</t>
  </si>
  <si>
    <t>23701 RAZVOJ ODGOJNO OBRAZOVNOG SUSTAVA</t>
  </si>
  <si>
    <t>A679047 Europske integracije</t>
  </si>
  <si>
    <t>3132 DOPRINOSI ZA OBVEZNO ZDRAVSTVENO OSIGURANJE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</si>
  <si>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</si>
  <si>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</si>
  <si>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</si>
  <si>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</si>
  <si>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</si>
  <si>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</si>
  <si>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Opći prihodi i primici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</si>
  <si>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</si>
  <si>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</si>
  <si>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</si>
  <si>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</si>
  <si>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</si>
  <si>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Pomoći EU (51)</t>
  </si>
  <si>
    <t>202 PLAN RASHODA</t>
  </si>
  <si>
    <t>237 OBRAZOVANJE</t>
  </si>
  <si>
    <t>23701 RAZVOJ ODGOJNO OBRAZOVNOG SUSTAVA</t>
  </si>
  <si>
    <t>A679047 Europske integracije</t>
  </si>
  <si>
    <t>3133 DOPRINOSI ZA OBVEZNO OSIGURANJE U SLUČAJU NEZAPOSLENOSTI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</si>
  <si>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</si>
  <si>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</si>
  <si>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</si>
  <si>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</si>
  <si>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</si>
  <si>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</si>
  <si>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</si>
  <si>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</si>
  <si>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</si>
  <si>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</si>
  <si>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</si>
  <si>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3211 Službena putovanja</t>
  </si>
  <si>
    <t>Pomoći EU (51)</t>
  </si>
  <si>
    <t>202 PLAN RASHODA</t>
  </si>
  <si>
    <t>237 OBRAZOVANJE</t>
  </si>
  <si>
    <t>23701 RAZVOJ ODGOJNO OBRAZOVNOG SUSTAVA</t>
  </si>
  <si>
    <t>A679047 Europske integracije</t>
  </si>
  <si>
    <t>3212 Naknade za prijevoz, za rad na terenu i odvojeni život</t>
  </si>
  <si>
    <t>Vlastiti prihodi</t>
  </si>
  <si>
    <t>202 PLAN RASHODA</t>
  </si>
  <si>
    <t>237 OBRAZOVANJE</t>
  </si>
  <si>
    <t>23701 RAZVOJ ODGOJNO OBRAZOVNOG SUSTAVA</t>
  </si>
  <si>
    <t>A679047 Europske integracije</t>
  </si>
  <si>
    <t>3213 Stručno usavršavanje zaposlenika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</si>
  <si>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</si>
  <si>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</si>
  <si>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</si>
  <si>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</si>
  <si>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</si>
  <si>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</si>
  <si>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Pomoći EU (51)</t>
  </si>
  <si>
    <t>202 PLAN RASHODA</t>
  </si>
  <si>
    <t>237 OBRAZOVANJE</t>
  </si>
  <si>
    <t>23701 RAZVOJ ODGOJNO OBRAZOVNOG SUSTAVA</t>
  </si>
  <si>
    <t>A679047 Europske integracije</t>
  </si>
  <si>
    <t>3221 Uredski materijal i ostali materijalni rashodi</t>
  </si>
  <si>
    <t>Vlastiti prihodi</t>
  </si>
  <si>
    <t>202 PLAN RASHODA</t>
  </si>
  <si>
    <t>237 OBRAZOVANJE</t>
  </si>
  <si>
    <t>23701 RAZVOJ ODGOJNO OBRAZOVNOG SUSTAVA</t>
  </si>
  <si>
    <t>A679047 Europske integracije</t>
  </si>
  <si>
    <t>3231 Usluge telefona, pošte i prijevoza</t>
  </si>
  <si>
    <t>Vlastiti prihodi</t>
  </si>
  <si>
    <t>202 PLAN RASHODA</t>
  </si>
  <si>
    <t>237 OBRAZOVANJE</t>
  </si>
  <si>
    <t>23701 RAZVOJ ODGOJNO OBRAZOVNOG SUSTAVA</t>
  </si>
  <si>
    <t>A679047 Europske integracije</t>
  </si>
  <si>
    <t>3235 Zakupnine i najamnine</t>
  </si>
  <si>
    <t>Pomoći EU (51)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</si>
  <si>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</si>
  <si>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</si>
  <si>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</si>
  <si>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</si>
  <si>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</si>
  <si>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</si>
  <si>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</si>
  <si>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</si>
  <si>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</si>
  <si>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</si>
  <si>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3237 Intelektualne i osobne usluge</t>
  </si>
  <si>
    <t>Pomoći EU (51)</t>
  </si>
  <si>
    <t>202 PLAN RASHODA</t>
  </si>
  <si>
    <t>237 OBRAZOVANJE</t>
  </si>
  <si>
    <t>23701 RAZVOJ ODGOJNO OBRAZOVNOG SUSTAVA</t>
  </si>
  <si>
    <t>A679047 Europske integracije</t>
  </si>
  <si>
    <t>3239 Ostale usluge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</si>
  <si>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</si>
  <si>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</si>
  <si>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</si>
  <si>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</si>
  <si>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</si>
  <si>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</si>
  <si>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Vlastiti prihodi</t>
  </si>
  <si>
    <t>202 PLAN RASHODA</t>
  </si>
  <si>
    <t>237 OBRAZOVANJE</t>
  </si>
  <si>
    <t>23701 RAZVOJ ODGOJNO OBRAZOVNOG SUSTAVA</t>
  </si>
  <si>
    <t>A679047 Europske integracije</t>
  </si>
  <si>
    <t>3293 Reprezentacija</t>
  </si>
  <si>
    <t>Pomoći EU (51)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</si>
  <si>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</si>
  <si>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</si>
  <si>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</si>
  <si>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</si>
  <si>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</si>
  <si>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Vlastiti prihodi</t>
  </si>
  <si>
    <t>202 PLAN RASHODA</t>
  </si>
  <si>
    <t>237 OBRAZOVANJE</t>
  </si>
  <si>
    <t>23701 RAZVOJ ODGOJNO OBRAZOVNOG SUSTAVA</t>
  </si>
  <si>
    <t>A679047 Europske integracije</t>
  </si>
  <si>
    <t>3295 Pristojbe i naknade</t>
  </si>
  <si>
    <t>Pomoći EU (51)</t>
  </si>
  <si>
    <t>202 PLAN RASHODA</t>
  </si>
  <si>
    <t>237 OBRAZOVANJE</t>
  </si>
  <si>
    <t>23701 RAZVOJ ODGOJNO OBRAZOVNOG SUSTAVA</t>
  </si>
  <si>
    <t>A679047 Europske integracije</t>
  </si>
  <si>
    <t>3432 Negativne tečajne razlike i razlike zbog primjene valutne klauzule</t>
  </si>
  <si>
    <t>Pomoći EU (51)</t>
  </si>
  <si>
    <t>202 PLAN RASHODA</t>
  </si>
  <si>
    <t>237 OBRAZOVANJE</t>
  </si>
  <si>
    <t>23701 RAZVOJ ODGOJNO OBRAZOVNOG SUSTAVA</t>
  </si>
  <si>
    <t>A679047 Europske integracije</t>
  </si>
  <si>
    <t>3721 Naknade građanima i kućanstvima u novcu</t>
  </si>
  <si>
    <t>Ostale pomoći i darovnice (52)</t>
  </si>
  <si>
    <t>202 PLAN RASHODA</t>
  </si>
  <si>
    <t>237 OBRAZOVANJE</t>
  </si>
  <si>
    <t>23701 RAZVOJ ODGOJNO OBRAZOVNOG SUSTAVA</t>
  </si>
  <si>
    <t>A679047 Europske integracije</t>
  </si>
  <si>
    <t>4221 Uredska oprema i namještaj</t>
  </si>
  <si>
    <t>Vlastiti prihodi</t>
  </si>
  <si>
    <t>202 PLAN RASHODA</t>
  </si>
  <si>
    <t>237 OBRAZOVANJE</t>
  </si>
  <si>
    <t>23705 VISOKO OBRAZOVANJE</t>
  </si>
  <si>
    <t>A6210 REDOVNA DJELATNOST-MZOS</t>
  </si>
  <si>
    <t>3111 PLAĆE ZA REDOVAN RAD - BRUTO</t>
  </si>
  <si>
    <t>Opći prihodi i primici</t>
  </si>
  <si>
    <t>202 PLAN RASHODA</t>
  </si>
  <si>
    <t>237 OBRAZOVANJE</t>
  </si>
  <si>
    <t>23705 VISOKO OBRAZOVANJE</t>
  </si>
  <si>
    <t>A6210 REDOVNA DJELATNOST-MZOS</t>
  </si>
  <si>
    <t>3121 OSTALI RASHODI ZA ZAPOSLENE</t>
  </si>
  <si>
    <t>Opći prihodi i primici</t>
  </si>
  <si>
    <t>202 PLAN RASHODA</t>
  </si>
  <si>
    <t>237 OBRAZOVANJE</t>
  </si>
  <si>
    <t>23705 VISOKO OBRAZOVANJE</t>
  </si>
  <si>
    <t>A6210 REDOVNA DJELATNOST-MZOS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</si>
  <si>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</si>
  <si>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</si>
  <si>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</si>
  <si>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</si>
  <si>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</si>
  <si>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A6210 REDOVNA DJELATNOST-MZOS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</si>
  <si>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</si>
  <si>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</si>
  <si>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</si>
  <si>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</si>
  <si>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</si>
  <si>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A6210 REDOVNA DJELATNOST-MZOS</t>
  </si>
  <si>
    <t>3212 Naknade za prijevoz, za rad na terenu i odvojeni život</t>
  </si>
  <si>
    <t>Opći prihodi i primici</t>
  </si>
  <si>
    <t>202 PLAN RASHODA</t>
  </si>
  <si>
    <t>237 OBRAZOVANJE</t>
  </si>
  <si>
    <t>23705 VISOKO OBRAZOVANJE</t>
  </si>
  <si>
    <t>A6210 REDOVNA DJELATNOST-MZOS</t>
  </si>
  <si>
    <t>3236 Zdravstvene i veterinarske usluge</t>
  </si>
  <si>
    <t>Opći prihodi i primici</t>
  </si>
  <si>
    <t>202 PLAN RASHODA</t>
  </si>
  <si>
    <t>237 OBRAZOVANJE</t>
  </si>
  <si>
    <t>23705 VISOKO OBRAZOVANJE</t>
  </si>
  <si>
    <t>A6210 REDOVNA DJELATNOST-MZOS</t>
  </si>
  <si>
    <t>3295 Pristojbe i naknade</t>
  </si>
  <si>
    <t>Opći prihodi i primici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</si>
  <si>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</si>
  <si>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</si>
  <si>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</si>
  <si>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</si>
  <si>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</si>
  <si>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</si>
  <si>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</si>
  <si>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</si>
  <si>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</si>
  <si>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</si>
  <si>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</si>
  <si>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</si>
  <si>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</si>
  <si>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</si>
  <si>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</si>
  <si>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</si>
  <si>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3111 PLAĆE ZA REDOVAN RAD - BRUTO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</si>
  <si>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</si>
  <si>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</si>
  <si>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</si>
  <si>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</si>
  <si>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</si>
  <si>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</si>
  <si>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</si>
  <si>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</si>
  <si>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</si>
  <si>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</si>
  <si>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</si>
  <si>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3121 OSTALI RASHODI ZA ZAPOSLENE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</si>
  <si>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</si>
  <si>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</si>
  <si>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</si>
  <si>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</si>
  <si>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</si>
  <si>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</si>
  <si>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</si>
  <si>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</si>
  <si>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</si>
  <si>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</si>
  <si>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</si>
  <si>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</si>
  <si>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</si>
  <si>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</si>
  <si>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</si>
  <si>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</si>
  <si>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</si>
  <si>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3132 DOPRINOSI ZA OBVEZNO ZDRAVSTVENO OSIGURANJE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</si>
  <si>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</si>
  <si>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</si>
  <si>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</si>
  <si>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</si>
  <si>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</si>
  <si>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</si>
  <si>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</si>
  <si>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</si>
  <si>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</si>
  <si>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</si>
  <si>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</si>
  <si>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</si>
  <si>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</si>
  <si>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</si>
  <si>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</si>
  <si>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</si>
  <si>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</si>
  <si>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3133 DOPRINOSI ZA OBVEZNO OSIGURANJE U SLUČAJU NEZAPOSLENOSTI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</si>
  <si>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</si>
  <si>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</si>
  <si>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</si>
  <si>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</si>
  <si>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</si>
  <si>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</si>
  <si>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</si>
  <si>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</si>
  <si>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</si>
  <si>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</si>
  <si>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</si>
  <si>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</si>
  <si>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</si>
  <si>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</si>
  <si>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</si>
  <si>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</si>
  <si>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</si>
  <si>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3211 Službena putovanja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</si>
  <si>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</si>
  <si>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</si>
  <si>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</si>
  <si>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</si>
  <si>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</si>
  <si>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</si>
  <si>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</si>
  <si>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</si>
  <si>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</si>
  <si>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</si>
  <si>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</si>
  <si>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3212 Naknade za prijevoz, za rad na terenu i odvojeni život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</si>
  <si>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</si>
  <si>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</si>
  <si>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</si>
  <si>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</si>
  <si>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</si>
  <si>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</si>
  <si>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</si>
  <si>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</si>
  <si>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</si>
  <si>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</si>
  <si>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</si>
  <si>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</si>
  <si>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</si>
  <si>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</si>
  <si>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</si>
  <si>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</si>
  <si>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</si>
  <si>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3213 Stručno usavršavanje zaposlenika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</si>
  <si>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</si>
  <si>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</si>
  <si>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</si>
  <si>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</si>
  <si>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</si>
  <si>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</si>
  <si>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</si>
  <si>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</si>
  <si>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</si>
  <si>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</si>
  <si>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</si>
  <si>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</si>
  <si>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</si>
  <si>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</si>
  <si>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</si>
  <si>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</si>
  <si>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</si>
  <si>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3221 Uredski materijal i ostali materijalni rashodi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</si>
  <si>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</si>
  <si>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</si>
  <si>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</si>
  <si>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</si>
  <si>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</si>
  <si>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3222 Materijal i sirovine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</si>
  <si>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</si>
  <si>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</si>
  <si>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</si>
  <si>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</si>
  <si>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</si>
  <si>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</si>
  <si>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</si>
  <si>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</si>
  <si>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</si>
  <si>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</si>
  <si>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</si>
  <si>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</si>
  <si>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</si>
  <si>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</si>
  <si>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</si>
  <si>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</si>
  <si>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</si>
  <si>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3223 Energija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</si>
  <si>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</si>
  <si>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</si>
  <si>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</si>
  <si>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</si>
  <si>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</si>
  <si>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</si>
  <si>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</si>
  <si>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</si>
  <si>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</si>
  <si>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</si>
  <si>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</si>
  <si>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3224 Materijal i dijelovi za tekuće i investicijsko održavanje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</si>
  <si>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</si>
  <si>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</si>
  <si>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</si>
  <si>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</si>
  <si>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</si>
  <si>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3227 Službena, radna i zaštitna odjeća i obuća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</si>
  <si>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</si>
  <si>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</si>
  <si>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</si>
  <si>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</si>
  <si>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</si>
  <si>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</si>
  <si>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</si>
  <si>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</si>
  <si>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</si>
  <si>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</si>
  <si>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</si>
  <si>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</si>
  <si>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</si>
  <si>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</si>
  <si>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</si>
  <si>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</si>
  <si>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</si>
  <si>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3231 Usluge telefona, pošte i prijevoza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</si>
  <si>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</si>
  <si>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</si>
  <si>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</si>
  <si>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</si>
  <si>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</si>
  <si>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</si>
  <si>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</si>
  <si>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</si>
  <si>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</si>
  <si>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</si>
  <si>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</si>
  <si>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</si>
  <si>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</si>
  <si>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</si>
  <si>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</si>
  <si>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</si>
  <si>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</si>
  <si>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3232 Usluge tekućeg i investicijskog održavanja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</si>
  <si>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</si>
  <si>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</si>
  <si>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</si>
  <si>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</si>
  <si>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</si>
  <si>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</si>
  <si>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</si>
  <si>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</si>
  <si>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</si>
  <si>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</si>
  <si>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</si>
  <si>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3233 Usluge promidžbe i informiranja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</si>
  <si>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</si>
  <si>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</si>
  <si>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</si>
  <si>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</si>
  <si>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</si>
  <si>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</si>
  <si>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</si>
  <si>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</si>
  <si>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</si>
  <si>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</si>
  <si>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</si>
  <si>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3234 Komunalne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</si>
  <si>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</si>
  <si>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</si>
  <si>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</si>
  <si>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</si>
  <si>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</si>
  <si>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</si>
  <si>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</si>
  <si>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</si>
  <si>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</si>
  <si>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</si>
  <si>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</si>
  <si>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</si>
  <si>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</si>
  <si>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</si>
  <si>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</si>
  <si>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</si>
  <si>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</si>
  <si>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3235 Zakupnine i najamnine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</si>
  <si>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</si>
  <si>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</si>
  <si>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</si>
  <si>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</si>
  <si>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</si>
  <si>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</si>
  <si>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</si>
  <si>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</si>
  <si>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</si>
  <si>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</si>
  <si>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</si>
  <si>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3236 Zdravstvene i veterinarske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</si>
  <si>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</si>
  <si>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</si>
  <si>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</si>
  <si>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</si>
  <si>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</si>
  <si>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</si>
  <si>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</si>
  <si>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</si>
  <si>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</si>
  <si>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</si>
  <si>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</si>
  <si>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</si>
  <si>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</si>
  <si>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</si>
  <si>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</si>
  <si>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</si>
  <si>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</si>
  <si>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3237 Intelektualne i osobne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</si>
  <si>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</si>
  <si>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</si>
  <si>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</si>
  <si>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</si>
  <si>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</si>
  <si>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3238 Računalne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</si>
  <si>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</si>
  <si>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</si>
  <si>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</si>
  <si>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</si>
  <si>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</si>
  <si>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</si>
  <si>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</si>
  <si>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</si>
  <si>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</si>
  <si>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</si>
  <si>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</si>
  <si>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</si>
  <si>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</si>
  <si>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</si>
  <si>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</si>
  <si>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</si>
  <si>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</si>
  <si>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</si>
  <si>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</si>
  <si>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</si>
  <si>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</si>
  <si>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</si>
  <si>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</si>
  <si>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3239 Ostale usluge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</si>
  <si>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</si>
  <si>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</si>
  <si>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</si>
  <si>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</si>
  <si>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</si>
  <si>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</si>
  <si>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</si>
  <si>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</si>
  <si>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</si>
  <si>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</si>
  <si>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</si>
  <si>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3241 Naknade troškova osobama izvan radnog odnosa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</si>
  <si>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</si>
  <si>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</si>
  <si>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</si>
  <si>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</si>
  <si>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</si>
  <si>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</si>
  <si>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</si>
  <si>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</si>
  <si>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</si>
  <si>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</si>
  <si>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</si>
  <si>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3292 Premije osiguranja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</si>
  <si>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</si>
  <si>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</si>
  <si>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</si>
  <si>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</si>
  <si>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</si>
  <si>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</si>
  <si>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</si>
  <si>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</si>
  <si>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</si>
  <si>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</si>
  <si>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</si>
  <si>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</si>
  <si>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</si>
  <si>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</si>
  <si>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</si>
  <si>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</si>
  <si>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</si>
  <si>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</si>
  <si>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</si>
  <si>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</si>
  <si>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</si>
  <si>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</si>
  <si>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</si>
  <si>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3293 Reprezentacija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</si>
  <si>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</si>
  <si>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</si>
  <si>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</si>
  <si>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</si>
  <si>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</si>
  <si>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</si>
  <si>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</si>
  <si>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</si>
  <si>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</si>
  <si>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</si>
  <si>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</si>
  <si>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</si>
  <si>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</si>
  <si>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</si>
  <si>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</si>
  <si>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</si>
  <si>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</si>
  <si>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3294 Članarine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</si>
  <si>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</si>
  <si>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</si>
  <si>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</si>
  <si>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</si>
  <si>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</si>
  <si>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</si>
  <si>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</si>
  <si>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</si>
  <si>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</si>
  <si>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</si>
  <si>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</si>
  <si>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</si>
  <si>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</si>
  <si>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</si>
  <si>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</si>
  <si>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</si>
  <si>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</si>
  <si>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3295 Pristojbe i naknade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</si>
  <si>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</si>
  <si>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</si>
  <si>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</si>
  <si>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</si>
  <si>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</si>
  <si>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</si>
  <si>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</si>
  <si>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</si>
  <si>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</si>
  <si>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</si>
  <si>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</si>
  <si>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</si>
  <si>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</si>
  <si>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</si>
  <si>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</si>
  <si>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</si>
  <si>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</si>
  <si>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3299 Ostali nespomenuti rashodi poslovanja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</si>
  <si>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</si>
  <si>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</si>
  <si>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</si>
  <si>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</si>
  <si>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</si>
  <si>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</si>
  <si>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</si>
  <si>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</si>
  <si>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</si>
  <si>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</si>
  <si>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</si>
  <si>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3431 Bankarske usluge i usluge platnog prometa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</si>
  <si>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</si>
  <si>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</si>
  <si>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</si>
  <si>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</si>
  <si>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</si>
  <si>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</si>
  <si>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</si>
  <si>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</si>
  <si>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</si>
  <si>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</si>
  <si>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</si>
  <si>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</si>
  <si>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</si>
  <si>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</si>
  <si>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</si>
  <si>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</si>
  <si>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</si>
  <si>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3432 Negativne tečajne razlike i razlike zbog primjene valutne klauzule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</si>
  <si>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</si>
  <si>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</si>
  <si>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</si>
  <si>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</si>
  <si>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</si>
  <si>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3434 Ostali nespomenuti financijski rashodi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</si>
  <si>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</si>
  <si>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</si>
  <si>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</si>
  <si>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</si>
  <si>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</si>
  <si>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3691 Prijenosi između pror. korisnika istog proračuna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</si>
  <si>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</si>
  <si>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</si>
  <si>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</si>
  <si>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</si>
  <si>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</si>
  <si>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3721 Naknade građanima i kućanstvima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</si>
  <si>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</si>
  <si>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</si>
  <si>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</si>
  <si>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</si>
  <si>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</si>
  <si>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3722 Naknade građanima i kućanstvima u naravi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</si>
  <si>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</si>
  <si>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</si>
  <si>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</si>
  <si>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</si>
  <si>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</si>
  <si>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</si>
  <si>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</si>
  <si>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</si>
  <si>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</si>
  <si>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</si>
  <si>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</si>
  <si>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</si>
  <si>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</si>
  <si>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</si>
  <si>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</si>
  <si>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</si>
  <si>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</si>
  <si>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</si>
  <si>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</si>
  <si>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</si>
  <si>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</si>
  <si>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</si>
  <si>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</si>
  <si>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3811 Tekuće donacije u novcu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</si>
  <si>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</si>
  <si>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</si>
  <si>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</si>
  <si>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</si>
  <si>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</si>
  <si>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3831 Naknade šteta pravnim i fizičkim osobama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</si>
  <si>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</si>
  <si>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</si>
  <si>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</si>
  <si>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</si>
  <si>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</si>
  <si>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</si>
  <si>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</si>
  <si>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</si>
  <si>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</si>
  <si>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</si>
  <si>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</si>
  <si>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4123 Licence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</si>
  <si>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</si>
  <si>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</si>
  <si>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</si>
  <si>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</si>
  <si>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</si>
  <si>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</si>
  <si>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</si>
  <si>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</si>
  <si>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</si>
  <si>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</si>
  <si>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</si>
  <si>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</si>
  <si>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</si>
  <si>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</si>
  <si>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</si>
  <si>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</si>
  <si>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</si>
  <si>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</si>
  <si>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</si>
  <si>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</si>
  <si>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</si>
  <si>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</si>
  <si>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</si>
  <si>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</si>
  <si>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</si>
  <si>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</si>
  <si>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</si>
  <si>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</si>
  <si>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</si>
  <si>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4221 Uredska oprema i namještaj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</si>
  <si>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</si>
  <si>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</si>
  <si>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</si>
  <si>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</si>
  <si>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</si>
  <si>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</si>
  <si>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</si>
  <si>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</si>
  <si>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</si>
  <si>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</si>
  <si>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</si>
  <si>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4222 Komunikacijska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</si>
  <si>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</si>
  <si>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</si>
  <si>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</si>
  <si>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</si>
  <si>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</si>
  <si>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</si>
  <si>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</si>
  <si>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</si>
  <si>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</si>
  <si>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</si>
  <si>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</si>
  <si>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4223 Oprema za održavanje i zaštitu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</si>
  <si>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</si>
  <si>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</si>
  <si>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</si>
  <si>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</si>
  <si>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</si>
  <si>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</si>
  <si>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</si>
  <si>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</si>
  <si>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</si>
  <si>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</si>
  <si>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</si>
  <si>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4224 Medicinska i laboratorijska oprema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</si>
  <si>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</si>
  <si>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</si>
  <si>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</si>
  <si>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</si>
  <si>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</si>
  <si>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4225 Instrumenti, uređaji i strojevi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</si>
  <si>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</si>
  <si>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</si>
  <si>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</si>
  <si>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</si>
  <si>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</si>
  <si>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</si>
  <si>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</si>
  <si>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</si>
  <si>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</si>
  <si>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</si>
  <si>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</si>
  <si>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4227 Uređaji, strojevi i oprema za ostale namjene</t>
  </si>
  <si>
    <t>Prodaja ili zamjena nefinancijske imovine (7)</t>
  </si>
  <si>
    <t>202 PLAN RASHODA</t>
  </si>
  <si>
    <t>237 OBRAZOVANJE</t>
  </si>
  <si>
    <t>23705 VISOKO OBRAZOVANJE</t>
  </si>
  <si>
    <t>A621002 REDOVNA DJELATNOST SVEUČILIŠTA U RIJECI-ViNP</t>
  </si>
  <si>
    <t>4233 Prijevozna sredstva u pomorskom i riječnom prometu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</si>
  <si>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</si>
  <si>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</si>
  <si>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</si>
  <si>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</si>
  <si>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</si>
  <si>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</si>
  <si>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Donacije (6)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</si>
  <si>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</si>
  <si>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</si>
  <si>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</si>
  <si>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</si>
  <si>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</si>
  <si>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Ostali prihodi za posebne namjene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</si>
  <si>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</si>
  <si>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</si>
  <si>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</si>
  <si>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</si>
  <si>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</si>
  <si>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Ostale pomoći i darovnice (52)</t>
  </si>
  <si>
    <t>202 PLAN RASHODA</t>
  </si>
  <si>
    <t>237 OBRAZOVANJE</t>
  </si>
  <si>
    <t>23705 VISOKO OBRAZOVANJE</t>
  </si>
  <si>
    <t>A621002 REDOVNA DJELATNOST SVEUČILIŠTA U RIJECI-ViNP</t>
  </si>
  <si>
    <t>4241 Knjige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</si>
  <si>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</si>
  <si>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</si>
  <si>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</si>
  <si>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</si>
  <si>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</si>
  <si>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</si>
  <si>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Vlastiti prihodi</t>
  </si>
  <si>
    <t>202 PLAN RASHODA</t>
  </si>
  <si>
    <t>237 OBRAZOVANJE</t>
  </si>
  <si>
    <t>23705 VISOKO OBRAZOVANJE</t>
  </si>
  <si>
    <t>A621002 REDOVNA DJELATNOST SVEUČILIŠTA U RIJECI-ViNP</t>
  </si>
  <si>
    <t>4264 Ostala nematerijalna proizvedena imovina</t>
  </si>
  <si>
    <t>Ostali prihodi za posebne namjene</t>
  </si>
  <si>
    <t>202 PLAN RASHODA</t>
  </si>
  <si>
    <t>237 OBRAZOVANJE</t>
  </si>
  <si>
    <t>23705 VISOKO OBRAZOVANJE</t>
  </si>
  <si>
    <t>A622122 PROGRAMSKO FINANCIRANJE JAVNIH VISOKIH UČILIŠTA</t>
  </si>
  <si>
    <t>3111 PLAĆE ZA REDOVAN RAD - BRUTO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</si>
  <si>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</si>
  <si>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</si>
  <si>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</si>
  <si>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</si>
  <si>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</si>
  <si>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3132 DOPRINOSI ZA OBVEZNO ZDRAVSTVENO OSIGURANJE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</si>
  <si>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</si>
  <si>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</si>
  <si>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</si>
  <si>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</si>
  <si>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</si>
  <si>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3133 DOPRINOSI ZA OBVEZNO OSIGURANJE U SLUČAJU NEZAPOSLENOSTI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</si>
  <si>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</si>
  <si>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</si>
  <si>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</si>
  <si>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</si>
  <si>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</si>
  <si>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3211 Službena putovanja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</si>
  <si>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</si>
  <si>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</si>
  <si>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</si>
  <si>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</si>
  <si>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</si>
  <si>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3213 Stručno usavršavanje zaposlenika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</si>
  <si>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</si>
  <si>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</si>
  <si>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</si>
  <si>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</si>
  <si>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</si>
  <si>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3221 Uredski materijal i ostali materijalni rashodi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</si>
  <si>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</si>
  <si>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</si>
  <si>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</si>
  <si>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</si>
  <si>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</si>
  <si>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3222 Materijal i sirovine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</si>
  <si>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</si>
  <si>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</si>
  <si>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</si>
  <si>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</si>
  <si>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</si>
  <si>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3223 Energija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</si>
  <si>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</si>
  <si>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</si>
  <si>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</si>
  <si>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</si>
  <si>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</si>
  <si>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3224 Materijal i dijelovi za tekuće i investicijsko održavanje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</si>
  <si>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</si>
  <si>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</si>
  <si>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</si>
  <si>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</si>
  <si>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</si>
  <si>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3227 Službena, radna i zaštitna odjeća i obuća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</si>
  <si>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</si>
  <si>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</si>
  <si>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</si>
  <si>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</si>
  <si>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</si>
  <si>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3231 Usluge telefona, pošte i prijevoza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</si>
  <si>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</si>
  <si>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</si>
  <si>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</si>
  <si>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</si>
  <si>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</si>
  <si>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3232 Usluge tekućeg i investicijskog održavanja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</si>
  <si>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</si>
  <si>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</si>
  <si>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</si>
  <si>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</si>
  <si>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</si>
  <si>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3233 Usluge promidžbe i informiranja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</si>
  <si>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</si>
  <si>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</si>
  <si>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</si>
  <si>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</si>
  <si>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</si>
  <si>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3234 Komunalne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</si>
  <si>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</si>
  <si>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</si>
  <si>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</si>
  <si>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</si>
  <si>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</si>
  <si>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3235 Zakupnine i najamnine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</si>
  <si>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</si>
  <si>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</si>
  <si>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</si>
  <si>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</si>
  <si>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</si>
  <si>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3237 Intelektualne i osobne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</si>
  <si>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</si>
  <si>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</si>
  <si>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</si>
  <si>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</si>
  <si>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</si>
  <si>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3238 Računalne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</si>
  <si>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</si>
  <si>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</si>
  <si>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</si>
  <si>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</si>
  <si>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</si>
  <si>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3239 Ostale usluge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</si>
  <si>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</si>
  <si>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</si>
  <si>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</si>
  <si>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</si>
  <si>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</si>
  <si>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3292 Premije osiguranja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</si>
  <si>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</si>
  <si>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</si>
  <si>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</si>
  <si>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</si>
  <si>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</si>
  <si>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3293 Reprezentacija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</si>
  <si>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</si>
  <si>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</si>
  <si>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</si>
  <si>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</si>
  <si>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</si>
  <si>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3294 Članarine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</si>
  <si>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</si>
  <si>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</si>
  <si>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</si>
  <si>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</si>
  <si>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</si>
  <si>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3295 Pristojbe i naknade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</si>
  <si>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</si>
  <si>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</si>
  <si>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</si>
  <si>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</si>
  <si>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</si>
  <si>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3299 Ostali nespomenuti rashodi poslovanja</t>
  </si>
  <si>
    <t>Opći prihodi i primici</t>
  </si>
  <si>
    <t>202 PLAN RASHODA</t>
  </si>
  <si>
    <t>237 OBRAZOVANJE</t>
  </si>
  <si>
    <t>23705 VISOKO OBRAZOVANJE</t>
  </si>
  <si>
    <t>A622122 PROGRAMSKO FINANCIRANJE JAVNIH VISOKIH UČILIŠTA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</si>
  <si>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</si>
  <si>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</si>
  <si>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</si>
  <si>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</si>
  <si>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</si>
  <si>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</si>
  <si>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3132 DOPRINOSI ZA OBVEZNO ZDRAVSTVENO OSIGURANJE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</si>
  <si>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</si>
  <si>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</si>
  <si>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</si>
  <si>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</si>
  <si>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</si>
  <si>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</si>
  <si>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</si>
  <si>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</si>
  <si>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</si>
  <si>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</si>
  <si>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</si>
  <si>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</si>
  <si>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</si>
  <si>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</si>
  <si>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</si>
  <si>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</si>
  <si>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</si>
  <si>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3211 Službena putovanja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</si>
  <si>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</si>
  <si>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</si>
  <si>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</si>
  <si>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</si>
  <si>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</si>
  <si>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</si>
  <si>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</si>
  <si>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</si>
  <si>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</si>
  <si>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</si>
  <si>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</si>
  <si>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3213 Stručno usavršavanje zaposlenika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</si>
  <si>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</si>
  <si>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</si>
  <si>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</si>
  <si>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</si>
  <si>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</si>
  <si>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</si>
  <si>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</si>
  <si>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</si>
  <si>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</si>
  <si>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</si>
  <si>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</si>
  <si>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3221 Uredski materijal i ostali materijalni rashodi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</si>
  <si>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</si>
  <si>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</si>
  <si>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</si>
  <si>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</si>
  <si>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</si>
  <si>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3233 Usluge promidžbe i informiranja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</si>
  <si>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</si>
  <si>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</si>
  <si>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</si>
  <si>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</si>
  <si>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</si>
  <si>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3235 Zakupnine i najamnine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</si>
  <si>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</si>
  <si>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</si>
  <si>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</si>
  <si>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</si>
  <si>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</si>
  <si>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</si>
  <si>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</si>
  <si>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</si>
  <si>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</si>
  <si>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</si>
  <si>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</si>
  <si>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</si>
  <si>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</si>
  <si>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</si>
  <si>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</si>
  <si>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</si>
  <si>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</si>
  <si>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3237 Intelektualne i osobne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</si>
  <si>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</si>
  <si>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</si>
  <si>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</si>
  <si>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</si>
  <si>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</si>
  <si>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</si>
  <si>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</si>
  <si>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</si>
  <si>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</si>
  <si>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</si>
  <si>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</si>
  <si>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3239 Ostale usluge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</si>
  <si>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</si>
  <si>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</si>
  <si>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</si>
  <si>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</si>
  <si>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</si>
  <si>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3292 Premije osiguranja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</si>
  <si>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</si>
  <si>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</si>
  <si>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</si>
  <si>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</si>
  <si>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</si>
  <si>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3293 Reprezentacija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</si>
  <si>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</si>
  <si>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</si>
  <si>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</si>
  <si>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</si>
  <si>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</si>
  <si>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3294 Članarine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</si>
  <si>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</si>
  <si>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</si>
  <si>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</si>
  <si>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</si>
  <si>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</si>
  <si>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3431 Bankarske usluge i usluge platnog prometa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</si>
  <si>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</si>
  <si>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</si>
  <si>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</si>
  <si>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</si>
  <si>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</si>
  <si>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3432 Negativne tečajne razlike i razlike zbog primjene valutne klauzule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</si>
  <si>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</si>
  <si>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</si>
  <si>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</si>
  <si>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</si>
  <si>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</si>
  <si>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</si>
  <si>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</si>
  <si>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</si>
  <si>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</si>
  <si>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</si>
  <si>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</si>
  <si>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4221 Uredska oprema i namještaj</t>
  </si>
  <si>
    <t>Ostali prihodi za posebne namjene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</si>
  <si>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</si>
  <si>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</si>
  <si>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</si>
  <si>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</si>
  <si>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4227 Uređaji, strojevi i oprema za ostale namjene</t>
  </si>
  <si>
    <t>Opći prihodi i primici</t>
  </si>
  <si>
    <t>202 PLAN RASHODA</t>
  </si>
  <si>
    <t>238 ZNANOST I TEHNOLOŠKI RAZVOJ</t>
  </si>
  <si>
    <t>23801 ULAGANJE U ZNANSTVENO ISTRAŽIVAČKU DJELATNOST</t>
  </si>
  <si>
    <t>A622003 PROGRAMI I PROJEKTI ZNANSTVENOISTRAŽIVAČKE DJELATNOSTI</t>
  </si>
  <si>
    <t>4241 Knjige</t>
  </si>
  <si>
    <t>Ostali prihodi za posebne namjene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</si>
  <si>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</si>
  <si>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</si>
  <si>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</si>
  <si>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</si>
  <si>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</si>
  <si>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</si>
  <si>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</si>
  <si>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</si>
  <si>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</si>
  <si>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</si>
  <si>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</si>
  <si>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</si>
  <si>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</si>
  <si>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</si>
  <si>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</si>
  <si>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</si>
  <si>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3132 DOPRINOSI ZA OBVEZNO ZDRAVSTVENO OSIGURANJE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</si>
  <si>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</si>
  <si>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</si>
  <si>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</si>
  <si>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</si>
  <si>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</si>
  <si>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3133 DOPRINOSI ZA OBVEZNO OSIGURANJE U SLUČAJU NEZAPOSLENOSTI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</si>
  <si>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</si>
  <si>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</si>
  <si>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</si>
  <si>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</si>
  <si>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</si>
  <si>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</si>
  <si>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</si>
  <si>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</si>
  <si>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</si>
  <si>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</si>
  <si>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</si>
  <si>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</si>
  <si>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</si>
  <si>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</si>
  <si>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</si>
  <si>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</si>
  <si>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</si>
  <si>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</si>
  <si>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</si>
  <si>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</si>
  <si>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</si>
  <si>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</si>
  <si>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A622004 IZDAVANJE DOMAĆIH ZNANSTVENIH ČASOPISA</t>
  </si>
  <si>
    <t>3239 Ostale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</si>
  <si>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</si>
  <si>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</si>
  <si>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</si>
  <si>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</si>
  <si>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</si>
  <si>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3235 Zakupnine i najamnine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</si>
  <si>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</si>
  <si>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</si>
  <si>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</si>
  <si>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</si>
  <si>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</si>
  <si>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3237 Intelektualne i osobne usluge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</si>
  <si>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</si>
  <si>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</si>
  <si>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</si>
  <si>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</si>
  <si>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</si>
  <si>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3241 Naknade troškova osobama izvan radnog odnosa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</si>
  <si>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</si>
  <si>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</si>
  <si>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</si>
  <si>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</si>
  <si>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</si>
  <si>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3293 Reprezentacija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</si>
  <si>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</si>
  <si>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</si>
  <si>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</si>
  <si>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</si>
  <si>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</si>
  <si>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3432 Negativne tečajne razlike i razlike zbog primjene valutne klauzule</t>
  </si>
  <si>
    <t>Vlastiti prihodi</t>
  </si>
  <si>
    <t>202 PLAN RASHODA</t>
  </si>
  <si>
    <t>238 ZNANOST I TEHNOLOŠKI RAZVOJ</t>
  </si>
  <si>
    <t>23801 ULAGANJE U ZNANSTVENO ISTRAŽIVAČKU DJELATNOST</t>
  </si>
  <si>
    <t>A622005 Organiziranje i održavanje znanstvenih skupova</t>
  </si>
  <si>
    <t>3811 Tekuće donacije u novcu</t>
  </si>
  <si>
    <t>Vlastiti prihodi</t>
  </si>
  <si>
    <t>202 PLAN RASHODA</t>
  </si>
  <si>
    <t>238 ZNANOST I TEHNOLOŠKI RAZVOJ</t>
  </si>
  <si>
    <t>23801 ULAGANJE U ZNANSTVENO ISTRAŽIVAČKU DJELATNOST</t>
  </si>
  <si>
    <t>A622006 IZDAVANJE ZNANSTVENIH UDŽBENIKA</t>
  </si>
  <si>
    <t>3111 PLAĆE ZA REDOVAN RAD - BRUTO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</si>
  <si>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</si>
  <si>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</si>
  <si>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</si>
  <si>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</si>
  <si>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</si>
  <si>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3132 DOPRINOSI ZA OBVEZNO ZDRAVSTVENO OSIGURANJE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</si>
  <si>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</si>
  <si>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</si>
  <si>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</si>
  <si>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</si>
  <si>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</si>
  <si>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3237 Intelektualne i osobne usluge</t>
  </si>
  <si>
    <t>Ostale pomoći i darovnice (52)</t>
  </si>
  <si>
    <t>202 PLAN RASHODA</t>
  </si>
  <si>
    <t>238 ZNANOST I TEHNOLOŠKI RAZVOJ</t>
  </si>
  <si>
    <t>23801 ULAGANJE U ZNANSTVENO ISTRAŽIVAČKU DJELATNOST</t>
  </si>
  <si>
    <t>A622006 IZDAVANJE ZNANSTVENIH UDŽBENIKA</t>
  </si>
  <si>
    <t>3239 Ostale usluge</t>
  </si>
  <si>
    <t>Ostale pomoći i darovnice (52)</t>
  </si>
  <si>
    <t>Row Labels</t>
  </si>
  <si>
    <t>Grand Total</t>
  </si>
  <si>
    <t>Sum of Realizirani iznos2</t>
  </si>
  <si>
    <t>FINANCIJSKI PLAN 2017.</t>
  </si>
  <si>
    <t>REALIZACIJA 2017.</t>
  </si>
  <si>
    <t>Sum of Planirani iznos2</t>
  </si>
  <si>
    <t>Opći prihodi i primici (11)</t>
  </si>
  <si>
    <t>Ostali prihodi za posebne namjene (43)</t>
  </si>
  <si>
    <t>Vlastiti prihodi (31)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</si>
  <si>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</si>
  <si>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</si>
  <si>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</si>
  <si>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</si>
  <si>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</si>
  <si>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</si>
  <si>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</si>
  <si>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</si>
  <si>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</si>
  <si>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</si>
  <si>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</si>
  <si>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</si>
  <si>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</si>
  <si>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</si>
  <si>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</si>
  <si>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</si>
  <si>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</si>
  <si>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</si>
  <si>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Pristojbe i naknade</t>
  </si>
  <si>
    <t>Ostali nespomenuti rashodi poslovanja</t>
  </si>
  <si>
    <t>Bankarske usluge i usluge platnog prometa</t>
  </si>
  <si>
    <t>Uredska oprema i namještaj</t>
  </si>
  <si>
    <t>UKUPNO</t>
  </si>
  <si>
    <t>Plaće za redovan rad</t>
  </si>
  <si>
    <t>Ostali rashodi za zaposlene</t>
  </si>
  <si>
    <t>Reprezentacija</t>
  </si>
  <si>
    <t>Negativne tečajne razlike i razlike zbog primjene valutne klauzule</t>
  </si>
  <si>
    <t>Prijenosi između pror. korisnika istog proračuna</t>
  </si>
  <si>
    <t>Komunikacijska oprema</t>
  </si>
  <si>
    <t>Tekuće donacije u novcu</t>
  </si>
  <si>
    <t>Instrumenti, uređaji i strojevi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</si>
  <si>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</si>
  <si>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</si>
  <si>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</si>
  <si>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</si>
  <si>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</si>
  <si>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</si>
  <si>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Konto</t>
  </si>
  <si>
    <t>PRIHODI/IZVOR FINANCIRANJA</t>
  </si>
  <si>
    <t>Prihodi za financiranje rashoda poslovanja</t>
  </si>
  <si>
    <t>Ostali nespomenuti prihodi</t>
  </si>
  <si>
    <t>Ostali prihodi</t>
  </si>
  <si>
    <t>Tekuće pomoći od institucija i tijela  EU</t>
  </si>
  <si>
    <t>Tekući prijenosi između proračunskih korisnika istog proračuna</t>
  </si>
  <si>
    <t>Stambeni objekti</t>
  </si>
  <si>
    <t>Kamate na oročena sredstva i depozite po viđenju</t>
  </si>
  <si>
    <t>Prihodi od pozitivnih tečajnih razlika i razlika zbog primjene valutne klauzule</t>
  </si>
  <si>
    <t>Prihodi od pruženih usluga</t>
  </si>
  <si>
    <t>Tekuće donacije</t>
  </si>
  <si>
    <t>UKUPNO:</t>
  </si>
  <si>
    <t>Rashodi za materijal i energiju</t>
  </si>
  <si>
    <t>Rashodi za usluge</t>
  </si>
  <si>
    <t>Financijski rashodi</t>
  </si>
  <si>
    <t>Ostali financijski rashodi</t>
  </si>
  <si>
    <t>Rashodi za nabavu nefinancijske imovine</t>
  </si>
  <si>
    <t>Rashodi za nabavu proizvedene dugotrajne imovine</t>
  </si>
  <si>
    <t>Postrojenja i oprema</t>
  </si>
  <si>
    <t>Naknade troškova osobama izvan radnog odnosa</t>
  </si>
  <si>
    <t>Ostali rashodi</t>
  </si>
  <si>
    <t>Naknade građanima i kućanstvima na temelju osiguranja i druge naknade</t>
  </si>
  <si>
    <t>Doprinosi za obvezno zdravstveno osiguranje</t>
  </si>
  <si>
    <t>Rashodi poslovanja</t>
  </si>
  <si>
    <t>Aktivnost/Izvor financiranja</t>
  </si>
  <si>
    <t>PRIHODI UKUPNO</t>
  </si>
  <si>
    <t>PRIHODI POSLOVANJA</t>
  </si>
  <si>
    <t>RASHODI UKUPNO</t>
  </si>
  <si>
    <t>RASHODI  POSLOVANJA</t>
  </si>
  <si>
    <t>RAZLIKA - VIŠAK / MANJAK</t>
  </si>
  <si>
    <t>Prihodi poslovanja</t>
  </si>
  <si>
    <t>I. OPĆI DIO</t>
  </si>
  <si>
    <t>Naziv prihoda</t>
  </si>
  <si>
    <t>Tekući prijenosi između proračunskih korisnika istog proračuna temeljem prijenosa EU sredstava</t>
  </si>
  <si>
    <t>Pomoći iz inozemstva i od subjekata unutar općeg proračuna</t>
  </si>
  <si>
    <t>Pomoći od međunarodnih organizacija, te institucija i tijela EU</t>
  </si>
  <si>
    <t>Prijenosi između proračunskih korisnika istog proračuna</t>
  </si>
  <si>
    <t>Prihodi od financijske imovine</t>
  </si>
  <si>
    <t>Prihodi po posebnim propisima</t>
  </si>
  <si>
    <t>Prihodi od prodaje proizvoda i robe, te pruženih usluga</t>
  </si>
  <si>
    <t>Donacije od fizičkih i pravnih osoba izvan općeg proračuna</t>
  </si>
  <si>
    <t>Prihodi iz nadležnog proračuna za financiranje redovne djelatnosti proračunskih korisnika</t>
  </si>
  <si>
    <t>Prihodi od imovine</t>
  </si>
  <si>
    <t>Prihodi od upravnih i administrativnih pristojbi, pristojbi po posebnim propisima i naknada</t>
  </si>
  <si>
    <t>Prihod od prodaje proizvoda i robe, te pruženih usluga i prihodi od donacija</t>
  </si>
  <si>
    <t>Prihodi od nadležnog proračuna i HZZO-a temeljem ugovornih obveza</t>
  </si>
  <si>
    <t>Kazne, upravne mjere i ostali prihodi</t>
  </si>
  <si>
    <t>Naknade građanima i kućanstvima u novcu</t>
  </si>
  <si>
    <t>Naziv rashoda</t>
  </si>
  <si>
    <t>Plaće (Bruto)</t>
  </si>
  <si>
    <t>Pomoći dane u inozemstvo i unutar općeg proračuna</t>
  </si>
  <si>
    <t xml:space="preserve">Plaće za redovan rad  </t>
  </si>
  <si>
    <t>RASHODI/IZVOR FINANCIRANJA</t>
  </si>
  <si>
    <t>Pomoći EU  (51)</t>
  </si>
  <si>
    <t>PRIHODI OD PRODAJE NEFINANCIJSKE IMOVINE</t>
  </si>
  <si>
    <t>II. POSEBNI DIO</t>
  </si>
  <si>
    <t>Prihodi od prodanih proizvoda</t>
  </si>
  <si>
    <t>Indeks          (4/2)</t>
  </si>
  <si>
    <t>Indeks          (4/3)</t>
  </si>
  <si>
    <t>Indeks                (5/3)</t>
  </si>
  <si>
    <t>Indeks (5/4)</t>
  </si>
  <si>
    <t xml:space="preserve">M.P.                                </t>
  </si>
  <si>
    <t>Zatezne kamate</t>
  </si>
  <si>
    <t>Materijal za tekuće i investicijsko održavanje</t>
  </si>
  <si>
    <t>Tekući prijenosi između proračunskih korisnika</t>
  </si>
  <si>
    <t>Prihodi od prodanih proizvoda (knjige)</t>
  </si>
  <si>
    <t>Sveučilište u Rijeci</t>
  </si>
  <si>
    <t>3111</t>
  </si>
  <si>
    <t>3132</t>
  </si>
  <si>
    <t>3213</t>
  </si>
  <si>
    <t>3237</t>
  </si>
  <si>
    <t>3221</t>
  </si>
  <si>
    <t>3222</t>
  </si>
  <si>
    <t>3231</t>
  </si>
  <si>
    <t>3232</t>
  </si>
  <si>
    <t>3238</t>
  </si>
  <si>
    <t>3239</t>
  </si>
  <si>
    <t>3293</t>
  </si>
  <si>
    <t>3295</t>
  </si>
  <si>
    <t>3299</t>
  </si>
  <si>
    <t>3431</t>
  </si>
  <si>
    <t>3691</t>
  </si>
  <si>
    <t>4221</t>
  </si>
  <si>
    <t>3211</t>
  </si>
  <si>
    <t>Tekući prijenosi temeljem EU sredstava</t>
  </si>
  <si>
    <t>Indeks                (5/4)</t>
  </si>
  <si>
    <t>Indeks (5/3)</t>
  </si>
  <si>
    <t>PRIHODI/RASHODI</t>
  </si>
  <si>
    <t>DONOS</t>
  </si>
  <si>
    <t>ODNOS</t>
  </si>
  <si>
    <t>PRIMICI OD FINANCIJSKE IMOVINE I ZADUŽIVANJA</t>
  </si>
  <si>
    <t>NETO FINANCIRANJE</t>
  </si>
  <si>
    <t>IZDACI ZA FINANCIJSKU IMOVINU I DEPOZITE</t>
  </si>
  <si>
    <t>Ostale naknade troškova zaposlenima</t>
  </si>
  <si>
    <t>Naknade građanima</t>
  </si>
  <si>
    <t>Naknade građanima i kućanstvima</t>
  </si>
  <si>
    <t>Izvršenje 2021.</t>
  </si>
  <si>
    <t>Rashodi poslovanja i rashodi za nabavu nefinancijske imovine izvršeni su kako slijedi:</t>
  </si>
  <si>
    <t>Prihodi poslovanja i prihodi od prodaje nefinancijske imovine ostvareni su prema izvorima financiranja kako slijedi:</t>
  </si>
  <si>
    <t>Prihodi poslovanja i prihodi od prodaje nefinancije imovine ostvareni su kako slijedi:</t>
  </si>
  <si>
    <t>Rashodi poslovanja i rashodi za nabavu nefinancijske imovine izvršeni  su po aktivnostima i programima kako slijedi:</t>
  </si>
  <si>
    <t>Rashodi poslovanja i rashodi za nabavu nefinancijske imovine izvršeni su prema izvorima financiranja kako slijedi:</t>
  </si>
  <si>
    <t>Prihodi od pruženih usluga (stručni projekti, CIP, ostalo)</t>
  </si>
  <si>
    <t>UKUPNO SVE AKTIVNOSTI:</t>
  </si>
  <si>
    <t>RASHODI ZA NABAVU NEFINANCIJSKE IMOVINE</t>
  </si>
  <si>
    <t>Tekući prijenosi između proračunskih korisnika istog proračuna (MZO, Sveučilište i drugi fakulteti)</t>
  </si>
  <si>
    <t>Pomoći proračunskim korisnicima iz proračuna koji im nije nadležan</t>
  </si>
  <si>
    <t>Tekuće pomoći proračunskim korisnicima iz proračuna koji im nije nadležan</t>
  </si>
  <si>
    <t>Ostali nespomenuti financijski rashodi</t>
  </si>
  <si>
    <t>Sitan inventar i autogume</t>
  </si>
  <si>
    <t>Sitan inventar i autoguma</t>
  </si>
  <si>
    <t>A621002 REDOVNA DJELATNOST-Ministarstvo znanosti i obrazovanja</t>
  </si>
  <si>
    <t>MZOS REDOVNA DJELATNOST</t>
  </si>
  <si>
    <t xml:space="preserve"> OSTALE AKTIVNOSTI IZVORA 11</t>
  </si>
  <si>
    <t xml:space="preserve"> EU PROJEKTI SVEUČILITE U RIJECI</t>
  </si>
  <si>
    <t>A679072 Europske integracije</t>
  </si>
  <si>
    <t xml:space="preserve"> VLASTITI I NAMJENSKI PRIHODI</t>
  </si>
  <si>
    <t>A679089 PARTICIPACIJA ŠKOLARINA</t>
  </si>
  <si>
    <t>Sitan inventar i auto gume</t>
  </si>
  <si>
    <t>Prihodi od tečajnih razlika i razlike zbog valutne klauzule</t>
  </si>
  <si>
    <t>Kapitalne donacije</t>
  </si>
  <si>
    <t>Usluga promidžbe i informiranja</t>
  </si>
  <si>
    <t>_</t>
  </si>
  <si>
    <t>IZVRŠENJE FINANCIJSKOG PLANA ZA 2022. GODINU</t>
  </si>
  <si>
    <t>Rebalans 2022.</t>
  </si>
  <si>
    <t>Izvršenje 2022.</t>
  </si>
  <si>
    <t>-</t>
  </si>
  <si>
    <t>Plaće u naravi</t>
  </si>
  <si>
    <t>A621181 PRAVOMOĆNE SUDSKE PRESUDE</t>
  </si>
  <si>
    <t>Troškovi sudskih postupaka</t>
  </si>
  <si>
    <t>Plaće za prekovremeni rad</t>
  </si>
  <si>
    <t>Doprinosi za obvezno osiguranje  u slučaju nezaposlenosti</t>
  </si>
  <si>
    <t>Licence</t>
  </si>
  <si>
    <t>Knjige</t>
  </si>
  <si>
    <t>Službena, radna i zaštitna odjeća i obuća</t>
  </si>
  <si>
    <t>Službena, radna i zaštitna oprema</t>
  </si>
  <si>
    <t>Naknade građania i kućanstvima u novcu</t>
  </si>
  <si>
    <t>Usluge  tekućeg i investicijskog održavanja</t>
  </si>
  <si>
    <t>Medicinska i laboratorijska oprema</t>
  </si>
  <si>
    <t>Članarine i norme</t>
  </si>
  <si>
    <t>Rashodi za naavu nepoizvedene dugotrajne imovine</t>
  </si>
  <si>
    <t>Materijalna imovina - prirodna bogatstva</t>
  </si>
  <si>
    <t>Nakanade troškova osobama izvan radnog odnosa</t>
  </si>
  <si>
    <t>Donacije (6) AKTIVNOST A679089</t>
  </si>
  <si>
    <t>Materijal i sirovina</t>
  </si>
  <si>
    <t>Materijla i dijelovi za tekuće i investicijsko održavanje</t>
  </si>
  <si>
    <t>Usluge  promidžbe i informiranja</t>
  </si>
  <si>
    <t>Ostale pomoći i darovnice (52) AKTIVNOST A679072</t>
  </si>
  <si>
    <t>Donacije (6) AKTIVNOST A679072</t>
  </si>
  <si>
    <t>Ostale pomoći i darovnice (52) AKTIVNOST A679089</t>
  </si>
  <si>
    <t>Službena, radna i zaštitna odjeća</t>
  </si>
  <si>
    <t>Ulaganja u računalne porgrame</t>
  </si>
  <si>
    <t>Ulaganja u računalne programe</t>
  </si>
  <si>
    <t>Knjige umjetnička dijela i ostale izložbene vrijednosti</t>
  </si>
  <si>
    <t>Nematerijalna proizvedena imovina</t>
  </si>
  <si>
    <t>Tekuće donacije u naravi</t>
  </si>
  <si>
    <t>Rashodi za nabavu nepoizvedene dugotrajne imovine</t>
  </si>
  <si>
    <t>Sitni inventar i auto gume</t>
  </si>
  <si>
    <t>Naknada troškova službenog puta osobama izvan radnog odnosa</t>
  </si>
  <si>
    <t>Materijalna prava - prirodna bogatstva</t>
  </si>
  <si>
    <t>Knjige umjetnička dijela i ostale izložbene virjednosti</t>
  </si>
  <si>
    <t>Službena , radna i zaštitna odjeća i obuća</t>
  </si>
  <si>
    <t xml:space="preserve">Ostali nespomenuti prihodi </t>
  </si>
  <si>
    <t xml:space="preserve">Ostali prihodi za posebne namjene </t>
  </si>
  <si>
    <t>Izvršenje Financijskog plana Građevinskog fakulteta Rijeka za razdoblje 1. siječnja - 31. prosinca 2022. godine :</t>
  </si>
  <si>
    <t>izv.prof.dr. sc. Mladen Bulić</t>
  </si>
  <si>
    <t xml:space="preserve">   Dekan:</t>
  </si>
  <si>
    <t>DONOS PO IZVORIMA</t>
  </si>
  <si>
    <t>IZVOR 11</t>
  </si>
  <si>
    <t>IZVOR 31</t>
  </si>
  <si>
    <t>IZVOR 43</t>
  </si>
  <si>
    <t>IZVOR 51</t>
  </si>
  <si>
    <t>IZVOR 52</t>
  </si>
  <si>
    <t>IZVOR 61</t>
  </si>
  <si>
    <t>ODNOS PO IZVORIMA</t>
  </si>
  <si>
    <t>U Rijeci, 31.03.2023.</t>
  </si>
  <si>
    <t>Građevinski fakultet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</si>
</sst>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MS Sans Serif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Open Sans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rgb="FF000000"/>
      <name val="Open Sans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ECF4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theme="0"/>
      </right>
      <top style="thin">
        <color theme="0"/>
      </top>
      <bottom/>
    </border>
    <border>
      <left/>
      <right style="thin"/>
      <top style="thin"/>
      <bottom style="thin"/>
    </border>
    <border>
      <left/>
      <right style="thin">
        <color theme="0" tint="-0.3499799966812134"/>
      </right>
      <top style="hair">
        <color rgb="FF969696"/>
      </top>
      <bottom style="hair">
        <color rgb="FF969696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6" fillId="0" borderId="0">
      <alignment/>
      <protection/>
    </xf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4" fontId="7" fillId="0" borderId="9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11" xfId="0" applyBorder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47" fillId="0" borderId="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33" borderId="12" xfId="55" applyNumberFormat="1" applyFont="1" applyFill="1" applyBorder="1" applyAlignment="1" applyProtection="1">
      <alignment horizontal="center" wrapText="1"/>
      <protection/>
    </xf>
    <xf numFmtId="0" fontId="33" fillId="33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3" fontId="23" fillId="32" borderId="12" xfId="0" applyNumberFormat="1" applyFont="1" applyFill="1" applyBorder="1" applyAlignment="1" applyProtection="1">
      <alignment horizontal="right" vertical="center" wrapText="1"/>
      <protection/>
    </xf>
    <xf numFmtId="3" fontId="23" fillId="32" borderId="12" xfId="0" applyNumberFormat="1" applyFont="1" applyFill="1" applyBorder="1" applyAlignment="1">
      <alignment horizontal="right" vertical="center"/>
    </xf>
    <xf numFmtId="0" fontId="3" fillId="0" borderId="12" xfId="0" applyFont="1" applyBorder="1" applyAlignment="1" quotePrefix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>
      <alignment horizontal="left" vertical="center"/>
    </xf>
    <xf numFmtId="0" fontId="3" fillId="0" borderId="12" xfId="0" applyNumberFormat="1" applyFont="1" applyFill="1" applyBorder="1" applyAlignment="1" applyProtection="1" quotePrefix="1">
      <alignment horizontal="left" vertical="center" wrapText="1"/>
      <protection/>
    </xf>
    <xf numFmtId="0" fontId="2" fillId="0" borderId="0" xfId="56" applyFont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Border="1" applyAlignment="1">
      <alignment/>
      <protection/>
    </xf>
    <xf numFmtId="0" fontId="2" fillId="0" borderId="0" xfId="56" applyFont="1" applyBorder="1" applyAlignment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ont="1" applyBorder="1" applyAlignment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45" fillId="34" borderId="12" xfId="0" applyFont="1" applyFill="1" applyBorder="1" applyAlignment="1">
      <alignment/>
    </xf>
    <xf numFmtId="0" fontId="45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8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45" fillId="34" borderId="12" xfId="0" applyFont="1" applyFill="1" applyBorder="1" applyAlignment="1">
      <alignment horizontal="left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0" fontId="33" fillId="33" borderId="13" xfId="55" applyNumberFormat="1" applyFont="1" applyFill="1" applyBorder="1" applyAlignment="1" applyProtection="1">
      <alignment horizontal="center" vertical="center" wrapText="1"/>
      <protection/>
    </xf>
    <xf numFmtId="0" fontId="33" fillId="33" borderId="12" xfId="0" applyFont="1" applyFill="1" applyBorder="1" applyAlignment="1">
      <alignment horizontal="left" vertical="center" wrapText="1"/>
    </xf>
    <xf numFmtId="3" fontId="33" fillId="33" borderId="12" xfId="0" applyNumberFormat="1" applyFont="1" applyFill="1" applyBorder="1" applyAlignment="1">
      <alignment horizontal="right" vertical="center" wrapText="1"/>
    </xf>
    <xf numFmtId="3" fontId="0" fillId="34" borderId="12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4" fontId="23" fillId="32" borderId="12" xfId="0" applyNumberFormat="1" applyFont="1" applyFill="1" applyBorder="1" applyAlignment="1" applyProtection="1">
      <alignment horizontal="right" vertical="center" wrapText="1"/>
      <protection/>
    </xf>
    <xf numFmtId="0" fontId="33" fillId="33" borderId="0" xfId="0" applyFont="1" applyFill="1" applyBorder="1" applyAlignment="1" quotePrefix="1">
      <alignment horizontal="center" wrapText="1"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2" fontId="23" fillId="32" borderId="12" xfId="0" applyNumberFormat="1" applyFont="1" applyFill="1" applyBorder="1" applyAlignment="1" applyProtection="1">
      <alignment horizontal="right" vertical="center" wrapText="1"/>
      <protection/>
    </xf>
    <xf numFmtId="4" fontId="23" fillId="8" borderId="12" xfId="0" applyNumberFormat="1" applyFont="1" applyFill="1" applyBorder="1" applyAlignment="1" applyProtection="1">
      <alignment horizontal="right" vertical="center" wrapText="1"/>
      <protection/>
    </xf>
    <xf numFmtId="4" fontId="23" fillId="35" borderId="12" xfId="0" applyNumberFormat="1" applyFont="1" applyFill="1" applyBorder="1" applyAlignment="1" applyProtection="1">
      <alignment horizontal="right" vertical="center" wrapText="1"/>
      <protection/>
    </xf>
    <xf numFmtId="4" fontId="33" fillId="33" borderId="12" xfId="55" applyNumberFormat="1" applyFont="1" applyFill="1" applyBorder="1" applyAlignment="1" applyProtection="1">
      <alignment horizontal="right" wrapText="1"/>
      <protection/>
    </xf>
    <xf numFmtId="0" fontId="33" fillId="33" borderId="12" xfId="0" applyFont="1" applyFill="1" applyBorder="1" applyAlignment="1" quotePrefix="1">
      <alignment horizontal="center" vertical="center" wrapText="1"/>
    </xf>
    <xf numFmtId="0" fontId="33" fillId="33" borderId="12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left" vertical="center" wrapText="1"/>
    </xf>
    <xf numFmtId="3" fontId="33" fillId="33" borderId="12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12" xfId="0" applyFont="1" applyFill="1" applyBorder="1" applyAlignment="1">
      <alignment horizontal="right"/>
    </xf>
    <xf numFmtId="0" fontId="0" fillId="34" borderId="12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ill="1" applyBorder="1" applyAlignment="1">
      <alignment wrapText="1"/>
    </xf>
    <xf numFmtId="0" fontId="33" fillId="33" borderId="15" xfId="55" applyNumberFormat="1" applyFont="1" applyFill="1" applyBorder="1" applyAlignment="1" applyProtection="1">
      <alignment horizontal="center" vertical="center" wrapText="1"/>
      <protection/>
    </xf>
    <xf numFmtId="0" fontId="33" fillId="33" borderId="12" xfId="0" applyFont="1" applyFill="1" applyBorder="1" applyAlignment="1" quotePrefix="1">
      <alignment horizontal="center" wrapText="1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3" fillId="36" borderId="12" xfId="0" applyFont="1" applyFill="1" applyBorder="1" applyAlignment="1">
      <alignment horizontal="left" vertical="center" wrapText="1"/>
    </xf>
    <xf numFmtId="3" fontId="33" fillId="36" borderId="12" xfId="0" applyNumberFormat="1" applyFont="1" applyFill="1" applyBorder="1" applyAlignment="1">
      <alignment horizontal="right" wrapText="1"/>
    </xf>
    <xf numFmtId="4" fontId="33" fillId="36" borderId="12" xfId="55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4" fontId="2" fillId="32" borderId="12" xfId="0" applyNumberFormat="1" applyFont="1" applyFill="1" applyBorder="1" applyAlignment="1">
      <alignment/>
    </xf>
    <xf numFmtId="4" fontId="3" fillId="35" borderId="12" xfId="0" applyNumberFormat="1" applyFont="1" applyFill="1" applyBorder="1" applyAlignment="1" applyProtection="1">
      <alignment horizontal="right" vertical="center" wrapText="1"/>
      <protection/>
    </xf>
    <xf numFmtId="4" fontId="3" fillId="8" borderId="12" xfId="0" applyNumberFormat="1" applyFont="1" applyFill="1" applyBorder="1" applyAlignment="1" applyProtection="1">
      <alignment horizontal="right" vertical="center" wrapText="1"/>
      <protection/>
    </xf>
    <xf numFmtId="0" fontId="33" fillId="33" borderId="13" xfId="55" applyNumberFormat="1" applyFont="1" applyFill="1" applyBorder="1" applyAlignment="1" applyProtection="1">
      <alignment horizontal="center" wrapText="1"/>
      <protection/>
    </xf>
    <xf numFmtId="4" fontId="2" fillId="32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" fillId="0" borderId="12" xfId="57" applyFont="1" applyBorder="1" applyAlignment="1" applyProtection="1">
      <alignment horizontal="left" vertical="center" wrapText="1"/>
      <protection/>
    </xf>
    <xf numFmtId="3" fontId="33" fillId="33" borderId="12" xfId="55" applyNumberFormat="1" applyFont="1" applyFill="1" applyBorder="1" applyAlignment="1" applyProtection="1">
      <alignment horizontal="center" vertical="center" wrapText="1"/>
      <protection/>
    </xf>
    <xf numFmtId="3" fontId="33" fillId="33" borderId="13" xfId="55" applyNumberFormat="1" applyFont="1" applyFill="1" applyBorder="1" applyAlignment="1" applyProtection="1">
      <alignment horizontal="center" vertical="center" wrapText="1"/>
      <protection/>
    </xf>
    <xf numFmtId="3" fontId="33" fillId="36" borderId="12" xfId="55" applyNumberFormat="1" applyFont="1" applyFill="1" applyBorder="1" applyAlignment="1" applyProtection="1">
      <alignment horizontal="right" wrapText="1"/>
      <protection/>
    </xf>
    <xf numFmtId="3" fontId="33" fillId="33" borderId="12" xfId="55" applyNumberFormat="1" applyFont="1" applyFill="1" applyBorder="1" applyAlignment="1" applyProtection="1">
      <alignment horizontal="right" wrapText="1"/>
      <protection/>
    </xf>
    <xf numFmtId="164" fontId="23" fillId="32" borderId="12" xfId="0" applyNumberFormat="1" applyFont="1" applyFill="1" applyBorder="1" applyAlignment="1" applyProtection="1">
      <alignment horizontal="right" vertical="center" wrapText="1"/>
      <protection/>
    </xf>
    <xf numFmtId="164" fontId="1" fillId="32" borderId="12" xfId="0" applyNumberFormat="1" applyFont="1" applyFill="1" applyBorder="1" applyAlignment="1" applyProtection="1">
      <alignment horizontal="right" vertical="center" wrapText="1"/>
      <protection/>
    </xf>
    <xf numFmtId="164" fontId="0" fillId="32" borderId="12" xfId="0" applyNumberFormat="1" applyFill="1" applyBorder="1" applyAlignment="1">
      <alignment/>
    </xf>
    <xf numFmtId="164" fontId="23" fillId="8" borderId="12" xfId="0" applyNumberFormat="1" applyFont="1" applyFill="1" applyBorder="1" applyAlignment="1" applyProtection="1">
      <alignment horizontal="right" vertical="center" wrapText="1"/>
      <protection/>
    </xf>
    <xf numFmtId="164" fontId="23" fillId="35" borderId="12" xfId="0" applyNumberFormat="1" applyFont="1" applyFill="1" applyBorder="1" applyAlignment="1" applyProtection="1">
      <alignment horizontal="right" vertical="center" wrapText="1"/>
      <protection/>
    </xf>
    <xf numFmtId="164" fontId="2" fillId="32" borderId="12" xfId="0" applyNumberFormat="1" applyFont="1" applyFill="1" applyBorder="1" applyAlignment="1">
      <alignment/>
    </xf>
    <xf numFmtId="164" fontId="0" fillId="32" borderId="12" xfId="0" applyNumberFormat="1" applyFont="1" applyFill="1" applyBorder="1" applyAlignment="1">
      <alignment/>
    </xf>
    <xf numFmtId="164" fontId="45" fillId="32" borderId="12" xfId="0" applyNumberFormat="1" applyFont="1" applyFill="1" applyBorder="1" applyAlignment="1">
      <alignment/>
    </xf>
    <xf numFmtId="164" fontId="45" fillId="32" borderId="12" xfId="0" applyNumberFormat="1" applyFont="1" applyFill="1" applyBorder="1" applyAlignment="1">
      <alignment horizontal="right"/>
    </xf>
    <xf numFmtId="164" fontId="3" fillId="32" borderId="12" xfId="0" applyNumberFormat="1" applyFont="1" applyFill="1" applyBorder="1" applyAlignment="1">
      <alignment/>
    </xf>
    <xf numFmtId="164" fontId="23" fillId="32" borderId="12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2" fontId="23" fillId="35" borderId="12" xfId="0" applyNumberFormat="1" applyFont="1" applyFill="1" applyBorder="1" applyAlignment="1" applyProtection="1">
      <alignment horizontal="right" vertical="center" wrapText="1"/>
      <protection/>
    </xf>
    <xf numFmtId="2" fontId="23" fillId="8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2" xfId="0" applyNumberFormat="1" applyFont="1" applyFill="1" applyBorder="1" applyAlignment="1" applyProtection="1">
      <alignment horizontal="right" vertical="center" wrapText="1"/>
      <protection/>
    </xf>
    <xf numFmtId="2" fontId="1" fillId="32" borderId="12" xfId="0" applyNumberFormat="1" applyFont="1" applyFill="1" applyBorder="1" applyAlignment="1" applyProtection="1">
      <alignment horizontal="right" vertical="center" wrapTex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  <xf numFmtId="4" fontId="1" fillId="32" borderId="12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3" fillId="35" borderId="12" xfId="0" applyNumberFormat="1" applyFont="1" applyFill="1" applyBorder="1" applyAlignment="1" applyProtection="1">
      <alignment horizontal="right" vertical="center" wrapText="1"/>
      <protection/>
    </xf>
    <xf numFmtId="164" fontId="2" fillId="0" borderId="0" xfId="0" applyNumberFormat="1" applyFont="1" applyFill="1" applyBorder="1" applyAlignment="1">
      <alignment/>
    </xf>
    <xf numFmtId="4" fontId="45" fillId="37" borderId="12" xfId="0" applyNumberFormat="1" applyFont="1" applyFill="1" applyBorder="1" applyAlignment="1" applyProtection="1">
      <alignment horizontal="right" vertical="center" wrapText="1"/>
      <protection/>
    </xf>
    <xf numFmtId="4" fontId="3" fillId="38" borderId="12" xfId="0" applyNumberFormat="1" applyFont="1" applyFill="1" applyBorder="1" applyAlignment="1" applyProtection="1">
      <alignment horizontal="right" vertical="center" wrapText="1"/>
      <protection/>
    </xf>
    <xf numFmtId="164" fontId="2" fillId="39" borderId="16" xfId="0" applyNumberFormat="1" applyFont="1" applyFill="1" applyBorder="1" applyAlignment="1" applyProtection="1">
      <alignment horizontal="right" vertical="center" shrinkToFit="1"/>
      <protection locked="0"/>
    </xf>
    <xf numFmtId="164" fontId="2" fillId="39" borderId="12" xfId="0" applyNumberFormat="1" applyFont="1" applyFill="1" applyBorder="1" applyAlignment="1" applyProtection="1">
      <alignment horizontal="right" vertical="center" shrinkToFit="1"/>
      <protection locked="0"/>
    </xf>
    <xf numFmtId="0" fontId="45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56" applyFont="1" applyBorder="1" applyAlignment="1">
      <alignment horizontal="right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6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/>
    </xf>
    <xf numFmtId="2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 3" xfId="56"/>
    <cellStyle name="Normal 6" xfId="57"/>
    <cellStyle name="Note" xfId="58"/>
    <cellStyle name="Obično_List4" xfId="59"/>
    <cellStyle name="Output" xfId="60"/>
    <cellStyle name="Percent" xfId="61"/>
    <cellStyle name="SAPBEXstdData" xfId="62"/>
    <cellStyle name="Title" xfId="63"/>
    <cellStyle name="Total" xfId="64"/>
    <cellStyle name="Warning Text" xfId="65"/>
  </cellStyles>
  <dxfs count="1"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666750</xdr:colOff>
      <xdr:row>1</xdr:row>
      <xdr:rowOff>104775</xdr:rowOff>
    </xdr:to>
    <xdr:pic>
      <xdr:nvPicPr>
        <xdr:cNvPr id="1" name="Picture 1" descr="uniri kolor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L210" sheet="Sheet1"/>
  </cacheSource>
  <cacheFields count="12">
    <cacheField name="Naziv1">
      <sharedItems containsMixedTypes="0"/>
    </cacheField>
    <cacheField name="Naziv2">
      <sharedItems containsMixedTypes="0"/>
    </cacheField>
    <cacheField name="Naziv3">
      <sharedItems containsMixedTypes="0"/>
    </cacheField>
    <cacheField name="Naziv4">
      <sharedItems containsMixedTypes="0" count="8">
        <s v="A679047 Europske integracije"/>
        <s v="A6210 REDOVNA DJELATNOST-MZOS"/>
        <s v="A621002 REDOVNA DJELATNOST SVEUČILIŠTA U RIJECI-ViNP"/>
        <s v="A622122 PROGRAMSKO FINANCIRANJE JAVNIH VISOKIH UČILIŠTA"/>
        <s v="A622003 PROGRAMI I PROJEKTI ZNANSTVENOISTRAŽIVAČKE DJELATNOSTI"/>
        <s v="A622004 IZDAVANJE DOMAĆIH ZNANSTVENIH ČASOPISA"/>
        <s v="A622005 Organiziranje i održavanje znanstvenih skupova"/>
        <s v="A622006 IZDAVANJE ZNANSTVENIH UDŽBENIKA"/>
      </sharedItems>
    </cacheField>
    <cacheField name="Naziv5">
      <sharedItems containsMixedTypes="0" count="45">
        <s v="3111 PLAĆE ZA REDOVAN RAD - BRUTO"/>
        <s v="3121 OSTALI RASHODI ZA ZAPOSLENE"/>
        <s v="3132 DOPRINOSI ZA OBVEZNO ZDRAVSTVENO OSIGURANJE"/>
        <s v="3133 DOPRINOSI ZA OBVEZNO OSIGURANJE U SLUČAJU NEZAPOSLENOSTI"/>
        <s v="3211 Službena putovanja"/>
        <s v="3212 Naknade za prijevoz, za rad na terenu i odvojeni život"/>
        <s v="3213 Stručno usavršavanje zaposlenika"/>
        <s v="3221 Uredski materijal i ostali materijalni rashodi"/>
        <s v="3231 Usluge telefona, pošte i prijevoza"/>
        <s v="3235 Zakupnine i najamnine"/>
        <s v="3237 Intelektualne i osobne usluge"/>
        <s v="3239 Ostale usluge"/>
        <s v="3293 Reprezentacija"/>
        <s v="3295 Pristojbe i naknade"/>
        <s v="3432 Negativne tečajne razlike i razlike zbog primjene valutne klauzule"/>
        <s v="3721 Naknade građanima i kućanstvima u novcu"/>
        <s v="4221 Uredska oprema i namještaj"/>
        <s v="3236 Zdravstvene i veterinarske usluge"/>
        <s v="3222 Materijal i sirovine"/>
        <s v="3223 Energija"/>
        <s v="3224 Materijal i dijelovi za tekuće i investicijsko održavanje"/>
        <s v="3227 Službena, radna i zaštitna odjeća i obuća"/>
        <s v="3232 Usluge tekućeg i investicijskog održavanja"/>
        <s v="3233 Usluge promidžbe i informiranja"/>
        <s v="3234 Komunalne usluge"/>
        <s v="3238 Računalne usluge"/>
        <s v="3241 Naknade troškova osobama izvan radnog odnosa"/>
        <s v="3292 Premije osiguranja"/>
        <s v="3294 Članarine"/>
        <s v="3299 Ostali nespomenuti rashodi poslovanja"/>
        <s v="3431 Bankarske usluge i usluge platnog prometa"/>
        <s v="3434 Ostali nespomenuti financijski rashodi"/>
        <s v="3691 Prijenosi između pror. korisnika istog proračuna"/>
        <s v="3722 Naknade građanima i kućanstvima u naravi"/>
        <s v="3811 Tekuće donacije u novcu"/>
        <s v="3831 Naknade šteta pravnim i fizičkim osobama"/>
        <s v="4123 Licence"/>
        <s v="4222 Komunikacijska oprema"/>
        <s v="4223 Oprema za održavanje i zaštitu"/>
        <s v="4224 Medicinska i laboratorijska oprema"/>
        <s v="4225 Instrumenti, uređaji i strojevi"/>
        <s v="4227 Uređaji, strojevi i oprema za ostale namjene"/>
        <s v="4233 Prijevozna sredstva u pomorskom i riječnom prometu"/>
        <s v="4241 Knjige"/>
        <s v="4264 Ostala nematerijalna proizvedena imovina"/>
      </sharedItems>
    </cacheField>
    <cacheField name="Planirani iznos">
      <sharedItems containsSemiMixedTypes="0" containsString="0" containsMixedTypes="0" containsNumber="1" containsInteger="1"/>
    </cacheField>
    <cacheField name="Realizirani iznos">
      <sharedItems containsSemiMixedTypes="0" containsString="0" containsMixedTypes="0" containsNumber="1"/>
    </cacheField>
    <cacheField name="Plaćeni iznos">
      <sharedItems containsSemiMixedTypes="0" containsString="0" containsMixedTypes="0" containsNumber="1" containsInteger="1"/>
    </cacheField>
    <cacheField name="Izvor financiranja">
      <sharedItems containsMixedTypes="0" count="7">
        <s v="Pomoći EU (51)"/>
        <s v="Opći prihodi i primici"/>
        <s v="Vlastiti prihodi"/>
        <s v="Ostale pomoći i darovnice (52)"/>
        <s v="Ostali prihodi za posebne namjene"/>
        <s v="Donacije (6)"/>
        <s v="Prodaja ili zamjena nefinancijske imovine (7)"/>
      </sharedItems>
    </cacheField>
    <cacheField name="Planirani iznos2">
      <sharedItems containsSemiMixedTypes="0" containsString="0" containsMixedTypes="0" containsNumber="1" containsInteger="1"/>
    </cacheField>
    <cacheField name="Realizirani iznos2">
      <sharedItems containsSemiMixedTypes="0" containsString="0" containsMixedTypes="0" containsNumber="1"/>
    </cacheField>
    <cacheField name="Plaćeni iznos2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FINANCIJSKI PLAN 2017." showMissing="1" preserveFormatting="1" useAutoFormatting="1" itemPrintTitles="1" compactData="0" updatedVersion="2" indent="0" showMemberPropertyTips="1">
  <location ref="A3:C50" firstHeaderRow="1" firstDataRow="2" firstDataCol="1"/>
  <pivotFields count="12">
    <pivotField showAll="0"/>
    <pivotField showAll="0"/>
    <pivotField showAll="0"/>
    <pivotField showAll="0"/>
    <pivotField axis="axisRow" showAll="0">
      <items count="46">
        <item x="0"/>
        <item x="1"/>
        <item x="2"/>
        <item x="3"/>
        <item x="4"/>
        <item x="5"/>
        <item x="6"/>
        <item x="7"/>
        <item x="18"/>
        <item x="19"/>
        <item x="20"/>
        <item x="21"/>
        <item x="8"/>
        <item x="22"/>
        <item x="23"/>
        <item x="24"/>
        <item x="9"/>
        <item x="17"/>
        <item x="10"/>
        <item x="25"/>
        <item x="11"/>
        <item x="26"/>
        <item x="27"/>
        <item x="12"/>
        <item x="28"/>
        <item x="13"/>
        <item x="29"/>
        <item x="30"/>
        <item x="14"/>
        <item x="31"/>
        <item x="32"/>
        <item x="15"/>
        <item x="33"/>
        <item x="34"/>
        <item x="35"/>
        <item x="36"/>
        <item x="16"/>
        <item x="37"/>
        <item x="38"/>
        <item x="39"/>
        <item x="40"/>
        <item x="41"/>
        <item x="42"/>
        <item x="43"/>
        <item x="44"/>
        <item t="default"/>
      </items>
    </pivotField>
    <pivotField showAll="0" numFmtId="4"/>
    <pivotField showAll="0" numFmtId="4"/>
    <pivotField showAll="0" numFmtId="4"/>
    <pivotField showAll="0"/>
    <pivotField dataField="1" showAll="0" numFmtId="4"/>
    <pivotField dataField="1" showAll="0" numFmtId="4"/>
    <pivotField showAll="0" numFmtId="4"/>
  </pivotFields>
  <rowFields count="1">
    <field x="4"/>
  </rowFields>
  <rowItems count="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Planirani iznos2" fld="9" baseField="0" baseItem="0"/>
    <dataField name="Sum of Realizirani iznos2" fld="10" baseField="0" baseItem="0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E30" sqref="E30"/>
    </sheetView>
  </sheetViews>
  <sheetFormatPr defaultColWidth="16.8515625" defaultRowHeight="15"/>
  <cols>
    <col min="1" max="1" width="16.8515625" style="4" customWidth="1"/>
    <col min="2" max="2" width="16.8515625" style="0" customWidth="1"/>
    <col min="3" max="3" width="16.8515625" style="8" customWidth="1"/>
    <col min="4" max="4" width="16.8515625" style="5" customWidth="1"/>
    <col min="5" max="5" width="16.8515625" style="0" customWidth="1"/>
    <col min="6" max="8" width="16.8515625" style="11" customWidth="1"/>
    <col min="9" max="9" width="16.8515625" style="0" customWidth="1"/>
    <col min="10" max="12" width="16.8515625" style="11" customWidth="1"/>
  </cols>
  <sheetData>
    <row r="1" spans="1:12" ht="1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7" ht="15">
      <c r="A2" s="6"/>
      <c r="B2" s="2"/>
      <c r="C2" s="6"/>
      <c r="D2" s="3"/>
      <c r="E2" s="7"/>
      <c r="F2" s="10"/>
      <c r="G2" s="10"/>
    </row>
    <row r="3" spans="1:12" ht="15">
      <c r="A3" s="12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3" t="s">
        <v>9</v>
      </c>
      <c r="J3" s="10" t="s">
        <v>10</v>
      </c>
      <c r="K3" s="10" t="s">
        <v>11</v>
      </c>
      <c r="L3" s="10" t="s">
        <v>12</v>
      </c>
    </row>
    <row r="4" spans="1:12" ht="1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4">
        <v>395000</v>
      </c>
      <c r="G4" s="14">
        <v>653178.09</v>
      </c>
      <c r="H4" s="14">
        <v>0</v>
      </c>
      <c r="I4" t="s">
        <v>18</v>
      </c>
      <c r="J4" s="14">
        <v>88000</v>
      </c>
      <c r="K4" s="14">
        <v>175381.91</v>
      </c>
      <c r="L4" s="14">
        <v>0</v>
      </c>
    </row>
    <row r="5" spans="1:12" ht="15">
      <c r="A5" t="s">
        <v>19</v>
      </c>
      <c r="B5" t="s">
        <v>20</v>
      </c>
      <c r="C5" t="s">
        <v>21</v>
      </c>
      <c r="D5" t="s">
        <v>22</v>
      </c>
      <c r="E5" t="s">
        <v>23</v>
      </c>
      <c r="F5" s="14">
        <v>0</v>
      </c>
      <c r="G5" s="14">
        <v>0</v>
      </c>
      <c r="H5" s="14">
        <v>0</v>
      </c>
      <c r="I5" t="s">
        <v>24</v>
      </c>
      <c r="J5" s="14">
        <v>0</v>
      </c>
      <c r="K5" s="14">
        <v>100929.11</v>
      </c>
      <c r="L5" s="14">
        <v>0</v>
      </c>
    </row>
    <row r="6" spans="1:12" ht="15">
      <c r="A6" t="s">
        <v>25</v>
      </c>
      <c r="B6" t="s">
        <v>26</v>
      </c>
      <c r="C6" t="s">
        <v>27</v>
      </c>
      <c r="D6" t="s">
        <v>28</v>
      </c>
      <c r="E6" t="s">
        <v>29</v>
      </c>
      <c r="F6" s="14">
        <v>0</v>
      </c>
      <c r="G6" s="14">
        <v>0</v>
      </c>
      <c r="H6" s="14">
        <v>0</v>
      </c>
      <c r="I6" t="s">
        <v>30</v>
      </c>
      <c r="J6" s="14">
        <v>307000</v>
      </c>
      <c r="K6" s="14">
        <v>376867.07</v>
      </c>
      <c r="L6" s="14">
        <v>0</v>
      </c>
    </row>
    <row r="7" spans="1:12" ht="1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s="14">
        <v>2500</v>
      </c>
      <c r="G7" s="14">
        <v>2500</v>
      </c>
      <c r="H7" s="14">
        <v>0</v>
      </c>
      <c r="I7" t="s">
        <v>36</v>
      </c>
      <c r="J7" s="14">
        <v>2500</v>
      </c>
      <c r="K7" s="14">
        <v>2500</v>
      </c>
      <c r="L7" s="14">
        <v>0</v>
      </c>
    </row>
    <row r="8" spans="1:12" ht="15">
      <c r="A8" t="s">
        <v>37</v>
      </c>
      <c r="B8" t="s">
        <v>38</v>
      </c>
      <c r="C8" t="s">
        <v>39</v>
      </c>
      <c r="D8" t="s">
        <v>40</v>
      </c>
      <c r="E8" t="s">
        <v>41</v>
      </c>
      <c r="F8" s="14">
        <v>73600</v>
      </c>
      <c r="G8" s="14">
        <v>101242.6</v>
      </c>
      <c r="H8" s="14">
        <v>0</v>
      </c>
      <c r="I8" t="s">
        <v>42</v>
      </c>
      <c r="J8" s="14">
        <v>60000</v>
      </c>
      <c r="K8" s="14">
        <v>58414.41</v>
      </c>
      <c r="L8" s="14">
        <v>0</v>
      </c>
    </row>
    <row r="9" spans="1:12" ht="15">
      <c r="A9" t="s">
        <v>43</v>
      </c>
      <c r="B9" t="s">
        <v>44</v>
      </c>
      <c r="C9" t="s">
        <v>45</v>
      </c>
      <c r="D9" t="s">
        <v>46</v>
      </c>
      <c r="E9" t="s">
        <v>47</v>
      </c>
      <c r="F9" s="14">
        <v>0</v>
      </c>
      <c r="G9" s="14">
        <v>0</v>
      </c>
      <c r="H9" s="14">
        <v>0</v>
      </c>
      <c r="I9" t="s">
        <v>48</v>
      </c>
      <c r="J9" s="14">
        <v>13600</v>
      </c>
      <c r="K9" s="14">
        <v>27184.19</v>
      </c>
      <c r="L9" s="14">
        <v>0</v>
      </c>
    </row>
    <row r="10" spans="1:12" ht="15">
      <c r="A10" t="s">
        <v>49</v>
      </c>
      <c r="B10" t="s">
        <v>50</v>
      </c>
      <c r="C10" t="s">
        <v>51</v>
      </c>
      <c r="D10" t="s">
        <v>52</v>
      </c>
      <c r="E10" t="s">
        <v>53</v>
      </c>
      <c r="F10" s="14">
        <v>0</v>
      </c>
      <c r="G10" s="14">
        <v>0</v>
      </c>
      <c r="H10" s="14">
        <v>0</v>
      </c>
      <c r="I10" t="s">
        <v>54</v>
      </c>
      <c r="J10" s="14">
        <v>0</v>
      </c>
      <c r="K10" s="14">
        <v>15644</v>
      </c>
      <c r="L10" s="14">
        <v>0</v>
      </c>
    </row>
    <row r="11" spans="1:12" ht="15">
      <c r="A11" t="s">
        <v>55</v>
      </c>
      <c r="B11" t="s">
        <v>56</v>
      </c>
      <c r="C11" t="s">
        <v>57</v>
      </c>
      <c r="D11" t="s">
        <v>58</v>
      </c>
      <c r="E11" t="s">
        <v>59</v>
      </c>
      <c r="F11" s="14">
        <v>7700</v>
      </c>
      <c r="G11" s="14">
        <v>11104.04</v>
      </c>
      <c r="H11" s="14">
        <v>0</v>
      </c>
      <c r="I11" t="s">
        <v>60</v>
      </c>
      <c r="J11" s="14">
        <v>0</v>
      </c>
      <c r="K11" s="14">
        <v>1715.79</v>
      </c>
      <c r="L11" s="14">
        <v>0</v>
      </c>
    </row>
    <row r="12" spans="1:12" ht="15">
      <c r="A12" t="s">
        <v>61</v>
      </c>
      <c r="B12" t="s">
        <v>62</v>
      </c>
      <c r="C12" t="s">
        <v>63</v>
      </c>
      <c r="D12" t="s">
        <v>64</v>
      </c>
      <c r="E12" t="s">
        <v>65</v>
      </c>
      <c r="F12" s="14">
        <v>0</v>
      </c>
      <c r="G12" s="14">
        <v>0</v>
      </c>
      <c r="H12" s="14">
        <v>0</v>
      </c>
      <c r="I12" t="s">
        <v>66</v>
      </c>
      <c r="J12" s="14">
        <v>1500</v>
      </c>
      <c r="K12" s="14">
        <v>2981.5</v>
      </c>
      <c r="L12" s="14">
        <v>0</v>
      </c>
    </row>
    <row r="13" spans="1:12" ht="15">
      <c r="A13" t="s">
        <v>67</v>
      </c>
      <c r="B13" t="s">
        <v>68</v>
      </c>
      <c r="C13" t="s">
        <v>69</v>
      </c>
      <c r="D13" t="s">
        <v>70</v>
      </c>
      <c r="E13" t="s">
        <v>71</v>
      </c>
      <c r="F13" s="14">
        <v>0</v>
      </c>
      <c r="G13" s="14">
        <v>0</v>
      </c>
      <c r="H13" s="14">
        <v>0</v>
      </c>
      <c r="I13" t="s">
        <v>72</v>
      </c>
      <c r="J13" s="14">
        <v>6200</v>
      </c>
      <c r="K13" s="14">
        <v>6406.75</v>
      </c>
      <c r="L13" s="14">
        <v>0</v>
      </c>
    </row>
    <row r="14" spans="1:12" ht="15">
      <c r="A14" t="s">
        <v>73</v>
      </c>
      <c r="B14" t="s">
        <v>74</v>
      </c>
      <c r="C14" t="s">
        <v>75</v>
      </c>
      <c r="D14" t="s">
        <v>76</v>
      </c>
      <c r="E14" t="s">
        <v>77</v>
      </c>
      <c r="F14" s="14">
        <v>40200</v>
      </c>
      <c r="G14" s="14">
        <v>59643.65</v>
      </c>
      <c r="H14" s="14">
        <v>0</v>
      </c>
      <c r="I14" t="s">
        <v>78</v>
      </c>
      <c r="J14" s="14">
        <v>30000</v>
      </c>
      <c r="K14" s="14">
        <v>51884.76</v>
      </c>
      <c r="L14" s="14">
        <v>0</v>
      </c>
    </row>
    <row r="15" spans="1:12" ht="15">
      <c r="A15" t="s">
        <v>79</v>
      </c>
      <c r="B15" t="s">
        <v>80</v>
      </c>
      <c r="C15" t="s">
        <v>81</v>
      </c>
      <c r="D15" t="s">
        <v>82</v>
      </c>
      <c r="E15" t="s">
        <v>83</v>
      </c>
      <c r="F15" s="14">
        <v>0</v>
      </c>
      <c r="G15" s="14">
        <v>0</v>
      </c>
      <c r="H15" s="14">
        <v>0</v>
      </c>
      <c r="I15" t="s">
        <v>84</v>
      </c>
      <c r="J15" s="14">
        <v>10200</v>
      </c>
      <c r="K15" s="14">
        <v>7758.89</v>
      </c>
      <c r="L15" s="14">
        <v>0</v>
      </c>
    </row>
    <row r="16" spans="1:12" ht="15">
      <c r="A16" t="s">
        <v>85</v>
      </c>
      <c r="B16" t="s">
        <v>86</v>
      </c>
      <c r="C16" t="s">
        <v>87</v>
      </c>
      <c r="D16" t="s">
        <v>88</v>
      </c>
      <c r="E16" t="s">
        <v>89</v>
      </c>
      <c r="F16" s="14">
        <v>2500</v>
      </c>
      <c r="G16" s="14">
        <v>2511.63</v>
      </c>
      <c r="H16" s="14">
        <v>0</v>
      </c>
      <c r="I16" t="s">
        <v>90</v>
      </c>
      <c r="J16" s="14">
        <v>2500</v>
      </c>
      <c r="K16" s="14">
        <v>2511.63</v>
      </c>
      <c r="L16" s="14">
        <v>0</v>
      </c>
    </row>
    <row r="17" spans="1:12" ht="15">
      <c r="A17" t="s">
        <v>91</v>
      </c>
      <c r="B17" t="s">
        <v>92</v>
      </c>
      <c r="C17" t="s">
        <v>93</v>
      </c>
      <c r="D17" t="s">
        <v>94</v>
      </c>
      <c r="E17" t="s">
        <v>95</v>
      </c>
      <c r="F17" s="14">
        <v>1900</v>
      </c>
      <c r="G17" s="14">
        <v>0</v>
      </c>
      <c r="H17" s="14">
        <v>0</v>
      </c>
      <c r="I17" t="s">
        <v>96</v>
      </c>
      <c r="J17" s="14">
        <v>1900</v>
      </c>
      <c r="K17" s="14">
        <v>0</v>
      </c>
      <c r="L17" s="14">
        <v>0</v>
      </c>
    </row>
    <row r="18" spans="1:12" ht="15">
      <c r="A18" t="s">
        <v>97</v>
      </c>
      <c r="B18" t="s">
        <v>98</v>
      </c>
      <c r="C18" t="s">
        <v>99</v>
      </c>
      <c r="D18" t="s">
        <v>100</v>
      </c>
      <c r="E18" t="s">
        <v>101</v>
      </c>
      <c r="F18" s="14">
        <v>500</v>
      </c>
      <c r="G18" s="14">
        <v>250</v>
      </c>
      <c r="H18" s="14">
        <v>0</v>
      </c>
      <c r="I18" t="s">
        <v>102</v>
      </c>
      <c r="J18" s="14">
        <v>500</v>
      </c>
      <c r="K18" s="14">
        <v>0</v>
      </c>
      <c r="L18" s="14">
        <v>0</v>
      </c>
    </row>
    <row r="19" spans="1:12" ht="15">
      <c r="A19" t="s">
        <v>103</v>
      </c>
      <c r="B19" t="s">
        <v>104</v>
      </c>
      <c r="C19" t="s">
        <v>105</v>
      </c>
      <c r="D19" t="s">
        <v>106</v>
      </c>
      <c r="E19" t="s">
        <v>107</v>
      </c>
      <c r="F19" s="14">
        <v>0</v>
      </c>
      <c r="G19" s="14">
        <v>0</v>
      </c>
      <c r="H19" s="14">
        <v>0</v>
      </c>
      <c r="I19" t="s">
        <v>108</v>
      </c>
      <c r="J19" s="14">
        <v>0</v>
      </c>
      <c r="K19" s="14">
        <v>250</v>
      </c>
      <c r="L19" s="14">
        <v>0</v>
      </c>
    </row>
    <row r="20" spans="1:12" ht="15">
      <c r="A20" t="s">
        <v>109</v>
      </c>
      <c r="B20" t="s">
        <v>110</v>
      </c>
      <c r="C20" t="s">
        <v>111</v>
      </c>
      <c r="D20" t="s">
        <v>112</v>
      </c>
      <c r="E20" t="s">
        <v>113</v>
      </c>
      <c r="F20" s="14">
        <v>1000</v>
      </c>
      <c r="G20" s="14">
        <v>675.85</v>
      </c>
      <c r="H20" s="14">
        <v>0</v>
      </c>
      <c r="I20" t="s">
        <v>114</v>
      </c>
      <c r="J20" s="14">
        <v>1000</v>
      </c>
      <c r="K20" s="14">
        <v>675.85</v>
      </c>
      <c r="L20" s="14">
        <v>0</v>
      </c>
    </row>
    <row r="21" spans="1:12" ht="15">
      <c r="A21" t="s">
        <v>115</v>
      </c>
      <c r="B21" t="s">
        <v>116</v>
      </c>
      <c r="C21" t="s">
        <v>117</v>
      </c>
      <c r="D21" t="s">
        <v>118</v>
      </c>
      <c r="E21" t="s">
        <v>119</v>
      </c>
      <c r="F21" s="14">
        <v>4300</v>
      </c>
      <c r="G21" s="14">
        <v>0</v>
      </c>
      <c r="H21" s="14">
        <v>0</v>
      </c>
      <c r="I21" t="s">
        <v>120</v>
      </c>
      <c r="J21" s="14">
        <v>4300</v>
      </c>
      <c r="K21" s="14">
        <v>0</v>
      </c>
      <c r="L21" s="14">
        <v>0</v>
      </c>
    </row>
    <row r="22" spans="1:12" ht="15">
      <c r="A22" t="s">
        <v>121</v>
      </c>
      <c r="B22" t="s">
        <v>122</v>
      </c>
      <c r="C22" t="s">
        <v>123</v>
      </c>
      <c r="D22" t="s">
        <v>124</v>
      </c>
      <c r="E22" t="s">
        <v>125</v>
      </c>
      <c r="F22" s="14">
        <v>6000</v>
      </c>
      <c r="G22" s="14">
        <v>3850</v>
      </c>
      <c r="H22" s="14">
        <v>0</v>
      </c>
      <c r="I22" t="s">
        <v>126</v>
      </c>
      <c r="J22" s="14">
        <v>4000</v>
      </c>
      <c r="K22" s="14">
        <v>3850</v>
      </c>
      <c r="L22" s="14">
        <v>0</v>
      </c>
    </row>
    <row r="23" spans="1:12" ht="15">
      <c r="A23" t="s">
        <v>127</v>
      </c>
      <c r="B23" t="s">
        <v>128</v>
      </c>
      <c r="C23" t="s">
        <v>129</v>
      </c>
      <c r="D23" t="s">
        <v>130</v>
      </c>
      <c r="E23" t="s">
        <v>131</v>
      </c>
      <c r="F23" s="14">
        <v>0</v>
      </c>
      <c r="G23" s="14">
        <v>0</v>
      </c>
      <c r="H23" s="14">
        <v>0</v>
      </c>
      <c r="I23" t="s">
        <v>132</v>
      </c>
      <c r="J23" s="14">
        <v>2000</v>
      </c>
      <c r="K23" s="14">
        <v>0</v>
      </c>
      <c r="L23" s="14">
        <v>0</v>
      </c>
    </row>
    <row r="24" spans="1:12" ht="15">
      <c r="A24" t="s">
        <v>133</v>
      </c>
      <c r="B24" t="s">
        <v>134</v>
      </c>
      <c r="C24" t="s">
        <v>135</v>
      </c>
      <c r="D24" t="s">
        <v>136</v>
      </c>
      <c r="E24" t="s">
        <v>137</v>
      </c>
      <c r="F24" s="14">
        <v>1000</v>
      </c>
      <c r="G24" s="14">
        <v>562.5</v>
      </c>
      <c r="H24" s="14">
        <v>0</v>
      </c>
      <c r="I24" t="s">
        <v>138</v>
      </c>
      <c r="J24" s="14">
        <v>1000</v>
      </c>
      <c r="K24" s="14">
        <v>562.5</v>
      </c>
      <c r="L24" s="14">
        <v>0</v>
      </c>
    </row>
    <row r="25" spans="1:12" ht="15">
      <c r="A25" t="s">
        <v>139</v>
      </c>
      <c r="B25" t="s">
        <v>140</v>
      </c>
      <c r="C25" t="s">
        <v>141</v>
      </c>
      <c r="D25" t="s">
        <v>142</v>
      </c>
      <c r="E25" t="s">
        <v>143</v>
      </c>
      <c r="F25" s="14">
        <v>12600</v>
      </c>
      <c r="G25" s="14">
        <v>9286.5</v>
      </c>
      <c r="H25" s="14">
        <v>0</v>
      </c>
      <c r="I25" t="s">
        <v>144</v>
      </c>
      <c r="J25" s="14">
        <v>5400</v>
      </c>
      <c r="K25" s="14">
        <v>5309</v>
      </c>
      <c r="L25" s="14">
        <v>0</v>
      </c>
    </row>
    <row r="26" spans="1:12" ht="15">
      <c r="A26" t="s">
        <v>145</v>
      </c>
      <c r="B26" t="s">
        <v>146</v>
      </c>
      <c r="C26" t="s">
        <v>147</v>
      </c>
      <c r="D26" t="s">
        <v>148</v>
      </c>
      <c r="E26" t="s">
        <v>149</v>
      </c>
      <c r="F26" s="14">
        <v>0</v>
      </c>
      <c r="G26" s="14">
        <v>0</v>
      </c>
      <c r="H26" s="14">
        <v>0</v>
      </c>
      <c r="I26" t="s">
        <v>150</v>
      </c>
      <c r="J26" s="14">
        <v>7200</v>
      </c>
      <c r="K26" s="14">
        <v>3977.5</v>
      </c>
      <c r="L26" s="14">
        <v>0</v>
      </c>
    </row>
    <row r="27" spans="1:12" ht="15">
      <c r="A27" t="s">
        <v>151</v>
      </c>
      <c r="B27" t="s">
        <v>152</v>
      </c>
      <c r="C27" t="s">
        <v>153</v>
      </c>
      <c r="D27" t="s">
        <v>154</v>
      </c>
      <c r="E27" t="s">
        <v>155</v>
      </c>
      <c r="F27" s="14">
        <v>100</v>
      </c>
      <c r="G27" s="14">
        <v>50</v>
      </c>
      <c r="H27" s="14">
        <v>0</v>
      </c>
      <c r="I27" t="s">
        <v>156</v>
      </c>
      <c r="J27" s="14">
        <v>0</v>
      </c>
      <c r="K27" s="14">
        <v>50</v>
      </c>
      <c r="L27" s="14">
        <v>0</v>
      </c>
    </row>
    <row r="28" spans="1:12" ht="15">
      <c r="A28" t="s">
        <v>157</v>
      </c>
      <c r="B28" t="s">
        <v>158</v>
      </c>
      <c r="C28" t="s">
        <v>159</v>
      </c>
      <c r="D28" t="s">
        <v>160</v>
      </c>
      <c r="E28" t="s">
        <v>161</v>
      </c>
      <c r="F28" s="14">
        <v>0</v>
      </c>
      <c r="G28" s="14">
        <v>0</v>
      </c>
      <c r="H28" s="14">
        <v>0</v>
      </c>
      <c r="I28" t="s">
        <v>162</v>
      </c>
      <c r="J28" s="14">
        <v>100</v>
      </c>
      <c r="K28" s="14">
        <v>0</v>
      </c>
      <c r="L28" s="14">
        <v>0</v>
      </c>
    </row>
    <row r="29" spans="1:12" ht="15">
      <c r="A29" t="s">
        <v>163</v>
      </c>
      <c r="B29" t="s">
        <v>164</v>
      </c>
      <c r="C29" t="s">
        <v>165</v>
      </c>
      <c r="D29" t="s">
        <v>166</v>
      </c>
      <c r="E29" t="s">
        <v>167</v>
      </c>
      <c r="F29" s="14">
        <v>0</v>
      </c>
      <c r="G29" s="14">
        <v>15.57</v>
      </c>
      <c r="H29" s="14">
        <v>0</v>
      </c>
      <c r="I29" t="s">
        <v>168</v>
      </c>
      <c r="J29" s="14">
        <v>0</v>
      </c>
      <c r="K29" s="14">
        <v>15.57</v>
      </c>
      <c r="L29" s="14">
        <v>0</v>
      </c>
    </row>
    <row r="30" spans="1:12" ht="15">
      <c r="A30" t="s">
        <v>169</v>
      </c>
      <c r="B30" t="s">
        <v>170</v>
      </c>
      <c r="C30" t="s">
        <v>171</v>
      </c>
      <c r="D30" t="s">
        <v>172</v>
      </c>
      <c r="E30" t="s">
        <v>173</v>
      </c>
      <c r="F30" s="14">
        <v>11400</v>
      </c>
      <c r="G30" s="14">
        <v>0</v>
      </c>
      <c r="H30" s="14">
        <v>0</v>
      </c>
      <c r="I30" t="s">
        <v>174</v>
      </c>
      <c r="J30" s="14">
        <v>11400</v>
      </c>
      <c r="K30" s="14">
        <v>0</v>
      </c>
      <c r="L30" s="14">
        <v>0</v>
      </c>
    </row>
    <row r="31" spans="1:12" ht="15">
      <c r="A31" t="s">
        <v>175</v>
      </c>
      <c r="B31" t="s">
        <v>176</v>
      </c>
      <c r="C31" t="s">
        <v>177</v>
      </c>
      <c r="D31" t="s">
        <v>178</v>
      </c>
      <c r="E31" t="s">
        <v>179</v>
      </c>
      <c r="F31" s="14">
        <v>27000</v>
      </c>
      <c r="G31" s="14">
        <v>26098</v>
      </c>
      <c r="H31" s="14">
        <v>0</v>
      </c>
      <c r="I31" t="s">
        <v>180</v>
      </c>
      <c r="J31" s="14">
        <v>27000</v>
      </c>
      <c r="K31" s="14">
        <v>26098</v>
      </c>
      <c r="L31" s="14">
        <v>0</v>
      </c>
    </row>
    <row r="32" spans="1:12" ht="15">
      <c r="A32" t="s">
        <v>181</v>
      </c>
      <c r="B32" t="s">
        <v>182</v>
      </c>
      <c r="C32" t="s">
        <v>183</v>
      </c>
      <c r="D32" t="s">
        <v>184</v>
      </c>
      <c r="E32" t="s">
        <v>185</v>
      </c>
      <c r="F32" s="14">
        <v>15323000</v>
      </c>
      <c r="G32" s="14">
        <v>15217683.58</v>
      </c>
      <c r="H32" s="14">
        <v>0</v>
      </c>
      <c r="I32" t="s">
        <v>186</v>
      </c>
      <c r="J32" s="14">
        <v>15323000</v>
      </c>
      <c r="K32" s="14">
        <v>15217683.58</v>
      </c>
      <c r="L32" s="14">
        <v>0</v>
      </c>
    </row>
    <row r="33" spans="1:12" ht="15">
      <c r="A33" t="s">
        <v>187</v>
      </c>
      <c r="B33" t="s">
        <v>188</v>
      </c>
      <c r="C33" t="s">
        <v>189</v>
      </c>
      <c r="D33" t="s">
        <v>190</v>
      </c>
      <c r="E33" t="s">
        <v>191</v>
      </c>
      <c r="F33" s="14">
        <v>409210</v>
      </c>
      <c r="G33" s="14">
        <v>408384.63</v>
      </c>
      <c r="H33" s="14">
        <v>0</v>
      </c>
      <c r="I33" t="s">
        <v>192</v>
      </c>
      <c r="J33" s="14">
        <v>409210</v>
      </c>
      <c r="K33" s="14">
        <v>408384.63</v>
      </c>
      <c r="L33" s="14">
        <v>0</v>
      </c>
    </row>
    <row r="34" spans="1:12" ht="15">
      <c r="A34" t="s">
        <v>193</v>
      </c>
      <c r="B34" t="s">
        <v>194</v>
      </c>
      <c r="C34" t="s">
        <v>195</v>
      </c>
      <c r="D34" t="s">
        <v>196</v>
      </c>
      <c r="E34" t="s">
        <v>197</v>
      </c>
      <c r="F34" s="14">
        <v>2360000</v>
      </c>
      <c r="G34" s="14">
        <v>2358428.75</v>
      </c>
      <c r="H34" s="14">
        <v>0</v>
      </c>
      <c r="I34" t="s">
        <v>198</v>
      </c>
      <c r="J34" s="14">
        <v>2360000</v>
      </c>
      <c r="K34" s="14">
        <v>2358428.75</v>
      </c>
      <c r="L34" s="14">
        <v>0</v>
      </c>
    </row>
    <row r="35" spans="1:12" ht="15">
      <c r="A35" t="s">
        <v>199</v>
      </c>
      <c r="B35" t="s">
        <v>200</v>
      </c>
      <c r="C35" t="s">
        <v>201</v>
      </c>
      <c r="D35" t="s">
        <v>202</v>
      </c>
      <c r="E35" t="s">
        <v>203</v>
      </c>
      <c r="F35" s="14">
        <v>256000</v>
      </c>
      <c r="G35" s="14">
        <v>258625.02</v>
      </c>
      <c r="H35" s="14">
        <v>0</v>
      </c>
      <c r="I35" t="s">
        <v>204</v>
      </c>
      <c r="J35" s="14">
        <v>256000</v>
      </c>
      <c r="K35" s="14">
        <v>258625.02</v>
      </c>
      <c r="L35" s="14">
        <v>0</v>
      </c>
    </row>
    <row r="36" spans="1:12" ht="15">
      <c r="A36" t="s">
        <v>205</v>
      </c>
      <c r="B36" t="s">
        <v>206</v>
      </c>
      <c r="C36" t="s">
        <v>207</v>
      </c>
      <c r="D36" t="s">
        <v>208</v>
      </c>
      <c r="E36" t="s">
        <v>209</v>
      </c>
      <c r="F36" s="14">
        <v>327853</v>
      </c>
      <c r="G36" s="14">
        <v>328699.66</v>
      </c>
      <c r="H36" s="14">
        <v>0</v>
      </c>
      <c r="I36" t="s">
        <v>210</v>
      </c>
      <c r="J36" s="14">
        <v>327853</v>
      </c>
      <c r="K36" s="14">
        <v>328699.66</v>
      </c>
      <c r="L36" s="14">
        <v>0</v>
      </c>
    </row>
    <row r="37" spans="1:12" ht="15">
      <c r="A37" t="s">
        <v>211</v>
      </c>
      <c r="B37" t="s">
        <v>212</v>
      </c>
      <c r="C37" t="s">
        <v>213</v>
      </c>
      <c r="D37" t="s">
        <v>214</v>
      </c>
      <c r="E37" t="s">
        <v>215</v>
      </c>
      <c r="F37" s="14">
        <v>22770</v>
      </c>
      <c r="G37" s="14">
        <v>7500</v>
      </c>
      <c r="H37" s="14">
        <v>0</v>
      </c>
      <c r="I37" t="s">
        <v>216</v>
      </c>
      <c r="J37" s="14">
        <v>22770</v>
      </c>
      <c r="K37" s="14">
        <v>7500</v>
      </c>
      <c r="L37" s="14">
        <v>0</v>
      </c>
    </row>
    <row r="38" spans="1:12" ht="15">
      <c r="A38" t="s">
        <v>217</v>
      </c>
      <c r="B38" t="s">
        <v>218</v>
      </c>
      <c r="C38" t="s">
        <v>219</v>
      </c>
      <c r="D38" t="s">
        <v>220</v>
      </c>
      <c r="E38" t="s">
        <v>221</v>
      </c>
      <c r="F38" s="14">
        <v>35240</v>
      </c>
      <c r="G38" s="14">
        <v>35240.4</v>
      </c>
      <c r="H38" s="14">
        <v>0</v>
      </c>
      <c r="I38" t="s">
        <v>222</v>
      </c>
      <c r="J38" s="14">
        <v>35240</v>
      </c>
      <c r="K38" s="14">
        <v>35240.4</v>
      </c>
      <c r="L38" s="14">
        <v>0</v>
      </c>
    </row>
    <row r="39" spans="1:12" ht="15">
      <c r="A39" t="s">
        <v>223</v>
      </c>
      <c r="B39" t="s">
        <v>224</v>
      </c>
      <c r="C39" t="s">
        <v>225</v>
      </c>
      <c r="D39" t="s">
        <v>226</v>
      </c>
      <c r="E39" t="s">
        <v>227</v>
      </c>
      <c r="F39" s="14">
        <v>3900000</v>
      </c>
      <c r="G39" s="14">
        <v>3898921.02</v>
      </c>
      <c r="H39" s="14">
        <v>0</v>
      </c>
      <c r="I39" t="s">
        <v>228</v>
      </c>
      <c r="J39" s="14">
        <v>1970000</v>
      </c>
      <c r="K39" s="14">
        <v>1842681.88</v>
      </c>
      <c r="L39" s="14">
        <v>0</v>
      </c>
    </row>
    <row r="40" spans="1:12" ht="15">
      <c r="A40" t="s">
        <v>229</v>
      </c>
      <c r="B40" t="s">
        <v>230</v>
      </c>
      <c r="C40" t="s">
        <v>231</v>
      </c>
      <c r="D40" t="s">
        <v>232</v>
      </c>
      <c r="E40" t="s">
        <v>233</v>
      </c>
      <c r="F40" s="14">
        <v>0</v>
      </c>
      <c r="G40" s="14">
        <v>0</v>
      </c>
      <c r="H40" s="14">
        <v>0</v>
      </c>
      <c r="I40" t="s">
        <v>234</v>
      </c>
      <c r="J40" s="14">
        <v>30000</v>
      </c>
      <c r="K40" s="14">
        <v>26877.14</v>
      </c>
      <c r="L40" s="14">
        <v>0</v>
      </c>
    </row>
    <row r="41" spans="1:12" ht="15">
      <c r="A41" t="s">
        <v>235</v>
      </c>
      <c r="B41" t="s">
        <v>236</v>
      </c>
      <c r="C41" t="s">
        <v>237</v>
      </c>
      <c r="D41" t="s">
        <v>238</v>
      </c>
      <c r="E41" t="s">
        <v>239</v>
      </c>
      <c r="F41" s="14">
        <v>0</v>
      </c>
      <c r="G41" s="14">
        <v>0</v>
      </c>
      <c r="H41" s="14">
        <v>0</v>
      </c>
      <c r="I41" t="s">
        <v>240</v>
      </c>
      <c r="J41" s="14">
        <v>1900000</v>
      </c>
      <c r="K41" s="14">
        <v>2029362</v>
      </c>
      <c r="L41" s="14">
        <v>0</v>
      </c>
    </row>
    <row r="42" spans="1:12" ht="15">
      <c r="A42" t="s">
        <v>241</v>
      </c>
      <c r="B42" t="s">
        <v>242</v>
      </c>
      <c r="C42" t="s">
        <v>243</v>
      </c>
      <c r="D42" t="s">
        <v>244</v>
      </c>
      <c r="E42" t="s">
        <v>245</v>
      </c>
      <c r="F42" s="14">
        <v>110000</v>
      </c>
      <c r="G42" s="14">
        <v>41260</v>
      </c>
      <c r="H42" s="14">
        <v>0</v>
      </c>
      <c r="I42" t="s">
        <v>246</v>
      </c>
      <c r="J42" s="14">
        <v>20000</v>
      </c>
      <c r="K42" s="14">
        <v>0</v>
      </c>
      <c r="L42" s="14">
        <v>0</v>
      </c>
    </row>
    <row r="43" spans="1:12" ht="15">
      <c r="A43" t="s">
        <v>247</v>
      </c>
      <c r="B43" t="s">
        <v>248</v>
      </c>
      <c r="C43" t="s">
        <v>249</v>
      </c>
      <c r="D43" t="s">
        <v>250</v>
      </c>
      <c r="E43" t="s">
        <v>251</v>
      </c>
      <c r="F43" s="14">
        <v>0</v>
      </c>
      <c r="G43" s="14">
        <v>0</v>
      </c>
      <c r="H43" s="14">
        <v>0</v>
      </c>
      <c r="I43" t="s">
        <v>252</v>
      </c>
      <c r="J43" s="14">
        <v>90000</v>
      </c>
      <c r="K43" s="14">
        <v>41260</v>
      </c>
      <c r="L43" s="14">
        <v>0</v>
      </c>
    </row>
    <row r="44" spans="1:12" ht="15">
      <c r="A44" t="s">
        <v>253</v>
      </c>
      <c r="B44" t="s">
        <v>254</v>
      </c>
      <c r="C44" t="s">
        <v>255</v>
      </c>
      <c r="D44" t="s">
        <v>256</v>
      </c>
      <c r="E44" t="s">
        <v>257</v>
      </c>
      <c r="F44" s="14">
        <v>590000</v>
      </c>
      <c r="G44" s="14">
        <v>605420.69</v>
      </c>
      <c r="H44" s="14">
        <v>0</v>
      </c>
      <c r="I44" t="s">
        <v>258</v>
      </c>
      <c r="J44" s="14">
        <v>290000</v>
      </c>
      <c r="K44" s="14">
        <v>285956.63</v>
      </c>
      <c r="L44" s="14">
        <v>0</v>
      </c>
    </row>
    <row r="45" spans="1:12" ht="15">
      <c r="A45" t="s">
        <v>259</v>
      </c>
      <c r="B45" t="s">
        <v>260</v>
      </c>
      <c r="C45" t="s">
        <v>261</v>
      </c>
      <c r="D45" t="s">
        <v>262</v>
      </c>
      <c r="E45" t="s">
        <v>263</v>
      </c>
      <c r="F45" s="14">
        <v>0</v>
      </c>
      <c r="G45" s="14">
        <v>0</v>
      </c>
      <c r="H45" s="14">
        <v>0</v>
      </c>
      <c r="I45" t="s">
        <v>264</v>
      </c>
      <c r="J45" s="14">
        <v>5000</v>
      </c>
      <c r="K45" s="14">
        <v>4165.95</v>
      </c>
      <c r="L45" s="14">
        <v>0</v>
      </c>
    </row>
    <row r="46" spans="1:12" ht="15">
      <c r="A46" t="s">
        <v>265</v>
      </c>
      <c r="B46" t="s">
        <v>266</v>
      </c>
      <c r="C46" t="s">
        <v>267</v>
      </c>
      <c r="D46" t="s">
        <v>268</v>
      </c>
      <c r="E46" t="s">
        <v>269</v>
      </c>
      <c r="F46" s="14">
        <v>0</v>
      </c>
      <c r="G46" s="14">
        <v>0</v>
      </c>
      <c r="H46" s="14">
        <v>0</v>
      </c>
      <c r="I46" t="s">
        <v>270</v>
      </c>
      <c r="J46" s="14">
        <v>295000</v>
      </c>
      <c r="K46" s="14">
        <v>315298.11</v>
      </c>
      <c r="L46" s="14">
        <v>0</v>
      </c>
    </row>
    <row r="47" spans="1:12" ht="15">
      <c r="A47" t="s">
        <v>271</v>
      </c>
      <c r="B47" t="s">
        <v>272</v>
      </c>
      <c r="C47" t="s">
        <v>273</v>
      </c>
      <c r="D47" t="s">
        <v>274</v>
      </c>
      <c r="E47" t="s">
        <v>275</v>
      </c>
      <c r="F47" s="14">
        <v>74000</v>
      </c>
      <c r="G47" s="14">
        <v>66319.07</v>
      </c>
      <c r="H47" s="14">
        <v>0</v>
      </c>
      <c r="I47" t="s">
        <v>276</v>
      </c>
      <c r="J47" s="14">
        <v>2000</v>
      </c>
      <c r="K47" s="14">
        <v>456.92</v>
      </c>
      <c r="L47" s="14">
        <v>0</v>
      </c>
    </row>
    <row r="48" spans="1:12" ht="15">
      <c r="A48" t="s">
        <v>277</v>
      </c>
      <c r="B48" t="s">
        <v>278</v>
      </c>
      <c r="C48" t="s">
        <v>279</v>
      </c>
      <c r="D48" t="s">
        <v>280</v>
      </c>
      <c r="E48" t="s">
        <v>281</v>
      </c>
      <c r="F48" s="14">
        <v>0</v>
      </c>
      <c r="G48" s="14">
        <v>0</v>
      </c>
      <c r="H48" s="14">
        <v>0</v>
      </c>
      <c r="I48" t="s">
        <v>282</v>
      </c>
      <c r="J48" s="14">
        <v>32000</v>
      </c>
      <c r="K48" s="14">
        <v>34499.24</v>
      </c>
      <c r="L48" s="14">
        <v>0</v>
      </c>
    </row>
    <row r="49" spans="1:12" ht="15">
      <c r="A49" t="s">
        <v>283</v>
      </c>
      <c r="B49" t="s">
        <v>284</v>
      </c>
      <c r="C49" t="s">
        <v>285</v>
      </c>
      <c r="D49" t="s">
        <v>286</v>
      </c>
      <c r="E49" t="s">
        <v>287</v>
      </c>
      <c r="F49" s="14">
        <v>0</v>
      </c>
      <c r="G49" s="14">
        <v>0</v>
      </c>
      <c r="H49" s="14">
        <v>0</v>
      </c>
      <c r="I49" t="s">
        <v>288</v>
      </c>
      <c r="J49" s="14">
        <v>40000</v>
      </c>
      <c r="K49" s="14">
        <v>31362.91</v>
      </c>
      <c r="L49" s="14">
        <v>0</v>
      </c>
    </row>
    <row r="50" spans="1:12" ht="15">
      <c r="A50" t="s">
        <v>289</v>
      </c>
      <c r="B50" t="s">
        <v>290</v>
      </c>
      <c r="C50" t="s">
        <v>291</v>
      </c>
      <c r="D50" t="s">
        <v>292</v>
      </c>
      <c r="E50" t="s">
        <v>293</v>
      </c>
      <c r="F50" s="14">
        <v>605000</v>
      </c>
      <c r="G50" s="14">
        <v>517468.38</v>
      </c>
      <c r="H50" s="14">
        <v>0</v>
      </c>
      <c r="I50" t="s">
        <v>294</v>
      </c>
      <c r="J50" s="14">
        <v>255000</v>
      </c>
      <c r="K50" s="14">
        <v>311773.66</v>
      </c>
      <c r="L50" s="14">
        <v>0</v>
      </c>
    </row>
    <row r="51" spans="1:12" ht="15">
      <c r="A51" t="s">
        <v>295</v>
      </c>
      <c r="B51" t="s">
        <v>296</v>
      </c>
      <c r="C51" t="s">
        <v>297</v>
      </c>
      <c r="D51" t="s">
        <v>298</v>
      </c>
      <c r="E51" t="s">
        <v>299</v>
      </c>
      <c r="F51" s="14">
        <v>0</v>
      </c>
      <c r="G51" s="14">
        <v>0</v>
      </c>
      <c r="H51" s="14">
        <v>0</v>
      </c>
      <c r="I51" t="s">
        <v>300</v>
      </c>
      <c r="J51" s="14">
        <v>260000</v>
      </c>
      <c r="K51" s="14">
        <v>122608.24</v>
      </c>
      <c r="L51" s="14">
        <v>0</v>
      </c>
    </row>
    <row r="52" spans="1:12" ht="15">
      <c r="A52" t="s">
        <v>301</v>
      </c>
      <c r="B52" t="s">
        <v>302</v>
      </c>
      <c r="C52" t="s">
        <v>303</v>
      </c>
      <c r="D52" t="s">
        <v>304</v>
      </c>
      <c r="E52" t="s">
        <v>305</v>
      </c>
      <c r="F52" s="14">
        <v>0</v>
      </c>
      <c r="G52" s="14">
        <v>0</v>
      </c>
      <c r="H52" s="14">
        <v>0</v>
      </c>
      <c r="I52" t="s">
        <v>306</v>
      </c>
      <c r="J52" s="14">
        <v>90000</v>
      </c>
      <c r="K52" s="14">
        <v>83086.48</v>
      </c>
      <c r="L52" s="14">
        <v>0</v>
      </c>
    </row>
    <row r="53" spans="1:12" ht="15">
      <c r="A53" t="s">
        <v>307</v>
      </c>
      <c r="B53" t="s">
        <v>308</v>
      </c>
      <c r="C53" t="s">
        <v>309</v>
      </c>
      <c r="D53" t="s">
        <v>310</v>
      </c>
      <c r="E53" t="s">
        <v>311</v>
      </c>
      <c r="F53" s="14">
        <v>7000</v>
      </c>
      <c r="G53" s="14">
        <v>4120.36</v>
      </c>
      <c r="H53" s="14">
        <v>0</v>
      </c>
      <c r="I53" t="s">
        <v>312</v>
      </c>
      <c r="J53" s="14">
        <v>5000</v>
      </c>
      <c r="K53" s="14">
        <v>4120.36</v>
      </c>
      <c r="L53" s="14">
        <v>0</v>
      </c>
    </row>
    <row r="54" spans="1:12" ht="15">
      <c r="A54" t="s">
        <v>313</v>
      </c>
      <c r="B54" t="s">
        <v>314</v>
      </c>
      <c r="C54" t="s">
        <v>315</v>
      </c>
      <c r="D54" t="s">
        <v>316</v>
      </c>
      <c r="E54" t="s">
        <v>317</v>
      </c>
      <c r="F54" s="14">
        <v>0</v>
      </c>
      <c r="G54" s="14">
        <v>0</v>
      </c>
      <c r="H54" s="14">
        <v>0</v>
      </c>
      <c r="I54" t="s">
        <v>318</v>
      </c>
      <c r="J54" s="14">
        <v>2000</v>
      </c>
      <c r="K54" s="14">
        <v>0</v>
      </c>
      <c r="L54" s="14">
        <v>0</v>
      </c>
    </row>
    <row r="55" spans="1:12" ht="15">
      <c r="A55" t="s">
        <v>319</v>
      </c>
      <c r="B55" t="s">
        <v>320</v>
      </c>
      <c r="C55" t="s">
        <v>321</v>
      </c>
      <c r="D55" t="s">
        <v>322</v>
      </c>
      <c r="E55" t="s">
        <v>323</v>
      </c>
      <c r="F55" s="14">
        <v>116000</v>
      </c>
      <c r="G55" s="14">
        <v>114909.47</v>
      </c>
      <c r="H55" s="14">
        <v>0</v>
      </c>
      <c r="I55" t="s">
        <v>324</v>
      </c>
      <c r="J55" s="14">
        <v>60000</v>
      </c>
      <c r="K55" s="14">
        <v>64022.22</v>
      </c>
      <c r="L55" s="14">
        <v>0</v>
      </c>
    </row>
    <row r="56" spans="1:12" ht="15">
      <c r="A56" t="s">
        <v>325</v>
      </c>
      <c r="B56" t="s">
        <v>326</v>
      </c>
      <c r="C56" t="s">
        <v>327</v>
      </c>
      <c r="D56" t="s">
        <v>328</v>
      </c>
      <c r="E56" t="s">
        <v>329</v>
      </c>
      <c r="F56" s="14">
        <v>0</v>
      </c>
      <c r="G56" s="14">
        <v>0</v>
      </c>
      <c r="H56" s="14">
        <v>0</v>
      </c>
      <c r="I56" t="s">
        <v>330</v>
      </c>
      <c r="J56" s="14">
        <v>6000</v>
      </c>
      <c r="K56" s="14">
        <v>5453.51</v>
      </c>
      <c r="L56" s="14">
        <v>0</v>
      </c>
    </row>
    <row r="57" spans="1:12" ht="15">
      <c r="A57" t="s">
        <v>331</v>
      </c>
      <c r="B57" t="s">
        <v>332</v>
      </c>
      <c r="C57" t="s">
        <v>333</v>
      </c>
      <c r="D57" t="s">
        <v>334</v>
      </c>
      <c r="E57" t="s">
        <v>335</v>
      </c>
      <c r="F57" s="14">
        <v>0</v>
      </c>
      <c r="G57" s="14">
        <v>0</v>
      </c>
      <c r="H57" s="14">
        <v>0</v>
      </c>
      <c r="I57" t="s">
        <v>336</v>
      </c>
      <c r="J57" s="14">
        <v>50000</v>
      </c>
      <c r="K57" s="14">
        <v>45433.74</v>
      </c>
      <c r="L57" s="14">
        <v>0</v>
      </c>
    </row>
    <row r="58" spans="1:12" ht="15">
      <c r="A58" t="s">
        <v>337</v>
      </c>
      <c r="B58" t="s">
        <v>338</v>
      </c>
      <c r="C58" t="s">
        <v>339</v>
      </c>
      <c r="D58" t="s">
        <v>340</v>
      </c>
      <c r="E58" t="s">
        <v>341</v>
      </c>
      <c r="F58" s="14">
        <v>320000</v>
      </c>
      <c r="G58" s="14">
        <v>279462.26</v>
      </c>
      <c r="H58" s="14">
        <v>0</v>
      </c>
      <c r="I58" t="s">
        <v>342</v>
      </c>
      <c r="J58" s="14">
        <v>10000</v>
      </c>
      <c r="K58" s="14">
        <v>5642.6</v>
      </c>
      <c r="L58" s="14">
        <v>0</v>
      </c>
    </row>
    <row r="59" spans="1:12" ht="15">
      <c r="A59" t="s">
        <v>343</v>
      </c>
      <c r="B59" t="s">
        <v>344</v>
      </c>
      <c r="C59" t="s">
        <v>345</v>
      </c>
      <c r="D59" t="s">
        <v>346</v>
      </c>
      <c r="E59" t="s">
        <v>347</v>
      </c>
      <c r="F59" s="14">
        <v>0</v>
      </c>
      <c r="G59" s="14">
        <v>0</v>
      </c>
      <c r="H59" s="14">
        <v>0</v>
      </c>
      <c r="I59" t="s">
        <v>348</v>
      </c>
      <c r="J59" s="14">
        <v>60000</v>
      </c>
      <c r="K59" s="14">
        <v>50443.36</v>
      </c>
      <c r="L59" s="14">
        <v>0</v>
      </c>
    </row>
    <row r="60" spans="1:12" ht="15">
      <c r="A60" t="s">
        <v>349</v>
      </c>
      <c r="B60" t="s">
        <v>350</v>
      </c>
      <c r="C60" t="s">
        <v>351</v>
      </c>
      <c r="D60" t="s">
        <v>352</v>
      </c>
      <c r="E60" t="s">
        <v>353</v>
      </c>
      <c r="F60" s="14">
        <v>0</v>
      </c>
      <c r="G60" s="14">
        <v>0</v>
      </c>
      <c r="H60" s="14">
        <v>0</v>
      </c>
      <c r="I60" t="s">
        <v>354</v>
      </c>
      <c r="J60" s="14">
        <v>250000</v>
      </c>
      <c r="K60" s="14">
        <v>223376.3</v>
      </c>
      <c r="L60" s="14">
        <v>0</v>
      </c>
    </row>
    <row r="61" spans="1:12" ht="15">
      <c r="A61" t="s">
        <v>355</v>
      </c>
      <c r="B61" t="s">
        <v>356</v>
      </c>
      <c r="C61" t="s">
        <v>357</v>
      </c>
      <c r="D61" t="s">
        <v>358</v>
      </c>
      <c r="E61" t="s">
        <v>359</v>
      </c>
      <c r="F61" s="14">
        <v>2000</v>
      </c>
      <c r="G61" s="14">
        <v>1056.25</v>
      </c>
      <c r="H61" s="14">
        <v>0</v>
      </c>
      <c r="I61" t="s">
        <v>360</v>
      </c>
      <c r="J61" s="14">
        <v>2000</v>
      </c>
      <c r="K61" s="14">
        <v>1056.25</v>
      </c>
      <c r="L61" s="14">
        <v>0</v>
      </c>
    </row>
    <row r="62" spans="1:12" ht="15">
      <c r="A62" t="s">
        <v>361</v>
      </c>
      <c r="B62" t="s">
        <v>362</v>
      </c>
      <c r="C62" t="s">
        <v>363</v>
      </c>
      <c r="D62" t="s">
        <v>364</v>
      </c>
      <c r="E62" t="s">
        <v>365</v>
      </c>
      <c r="F62" s="14">
        <v>55300</v>
      </c>
      <c r="G62" s="14">
        <v>14298.2</v>
      </c>
      <c r="H62" s="14">
        <v>0</v>
      </c>
      <c r="I62" t="s">
        <v>366</v>
      </c>
      <c r="J62" s="14">
        <v>20000</v>
      </c>
      <c r="K62" s="14">
        <v>13588.45</v>
      </c>
      <c r="L62" s="14">
        <v>0</v>
      </c>
    </row>
    <row r="63" spans="1:12" ht="15">
      <c r="A63" t="s">
        <v>367</v>
      </c>
      <c r="B63" t="s">
        <v>368</v>
      </c>
      <c r="C63" t="s">
        <v>369</v>
      </c>
      <c r="D63" t="s">
        <v>370</v>
      </c>
      <c r="E63" t="s">
        <v>371</v>
      </c>
      <c r="F63" s="14">
        <v>0</v>
      </c>
      <c r="G63" s="14">
        <v>0</v>
      </c>
      <c r="H63" s="14">
        <v>0</v>
      </c>
      <c r="I63" t="s">
        <v>372</v>
      </c>
      <c r="J63" s="14">
        <v>3000</v>
      </c>
      <c r="K63" s="14">
        <v>709.75</v>
      </c>
      <c r="L63" s="14">
        <v>0</v>
      </c>
    </row>
    <row r="64" spans="1:12" ht="15">
      <c r="A64" t="s">
        <v>373</v>
      </c>
      <c r="B64" t="s">
        <v>374</v>
      </c>
      <c r="C64" t="s">
        <v>375</v>
      </c>
      <c r="D64" t="s">
        <v>376</v>
      </c>
      <c r="E64" t="s">
        <v>377</v>
      </c>
      <c r="F64" s="14">
        <v>0</v>
      </c>
      <c r="G64" s="14">
        <v>0</v>
      </c>
      <c r="H64" s="14">
        <v>0</v>
      </c>
      <c r="I64" t="s">
        <v>378</v>
      </c>
      <c r="J64" s="14">
        <v>32300</v>
      </c>
      <c r="K64" s="14">
        <v>0</v>
      </c>
      <c r="L64" s="14">
        <v>0</v>
      </c>
    </row>
    <row r="65" spans="1:12" ht="15">
      <c r="A65" t="s">
        <v>379</v>
      </c>
      <c r="B65" t="s">
        <v>380</v>
      </c>
      <c r="C65" t="s">
        <v>381</v>
      </c>
      <c r="D65" t="s">
        <v>382</v>
      </c>
      <c r="E65" t="s">
        <v>383</v>
      </c>
      <c r="F65" s="14">
        <v>48000</v>
      </c>
      <c r="G65" s="14">
        <v>66272.28</v>
      </c>
      <c r="H65" s="14">
        <v>0</v>
      </c>
      <c r="I65" t="s">
        <v>384</v>
      </c>
      <c r="J65" s="14">
        <v>10000</v>
      </c>
      <c r="K65" s="14">
        <v>29217.68</v>
      </c>
      <c r="L65" s="14">
        <v>0</v>
      </c>
    </row>
    <row r="66" spans="1:12" ht="15">
      <c r="A66" t="s">
        <v>385</v>
      </c>
      <c r="B66" t="s">
        <v>386</v>
      </c>
      <c r="C66" t="s">
        <v>387</v>
      </c>
      <c r="D66" t="s">
        <v>388</v>
      </c>
      <c r="E66" t="s">
        <v>389</v>
      </c>
      <c r="F66" s="14">
        <v>0</v>
      </c>
      <c r="G66" s="14">
        <v>0</v>
      </c>
      <c r="H66" s="14">
        <v>0</v>
      </c>
      <c r="I66" t="s">
        <v>390</v>
      </c>
      <c r="J66" s="14">
        <v>38000</v>
      </c>
      <c r="K66" s="14">
        <v>37054.6</v>
      </c>
      <c r="L66" s="14">
        <v>0</v>
      </c>
    </row>
    <row r="67" spans="1:12" ht="15">
      <c r="A67" t="s">
        <v>391</v>
      </c>
      <c r="B67" t="s">
        <v>392</v>
      </c>
      <c r="C67" t="s">
        <v>393</v>
      </c>
      <c r="D67" t="s">
        <v>394</v>
      </c>
      <c r="E67" t="s">
        <v>395</v>
      </c>
      <c r="F67" s="14">
        <v>20000</v>
      </c>
      <c r="G67" s="14">
        <v>19485.16</v>
      </c>
      <c r="H67" s="14">
        <v>0</v>
      </c>
      <c r="I67" t="s">
        <v>396</v>
      </c>
      <c r="J67" s="14">
        <v>20000</v>
      </c>
      <c r="K67" s="14">
        <v>19485.16</v>
      </c>
      <c r="L67" s="14">
        <v>0</v>
      </c>
    </row>
    <row r="68" spans="1:12" ht="15">
      <c r="A68" t="s">
        <v>397</v>
      </c>
      <c r="B68" t="s">
        <v>398</v>
      </c>
      <c r="C68" t="s">
        <v>399</v>
      </c>
      <c r="D68" t="s">
        <v>400</v>
      </c>
      <c r="E68" t="s">
        <v>401</v>
      </c>
      <c r="F68" s="14">
        <v>95000</v>
      </c>
      <c r="G68" s="14">
        <v>60479.48</v>
      </c>
      <c r="H68" s="14">
        <v>0</v>
      </c>
      <c r="I68" t="s">
        <v>402</v>
      </c>
      <c r="J68" s="14">
        <v>60000</v>
      </c>
      <c r="K68" s="14">
        <v>44399.87</v>
      </c>
      <c r="L68" s="14">
        <v>0</v>
      </c>
    </row>
    <row r="69" spans="1:12" ht="15">
      <c r="A69" t="s">
        <v>403</v>
      </c>
      <c r="B69" t="s">
        <v>404</v>
      </c>
      <c r="C69" t="s">
        <v>405</v>
      </c>
      <c r="D69" t="s">
        <v>406</v>
      </c>
      <c r="E69" t="s">
        <v>407</v>
      </c>
      <c r="F69" s="14">
        <v>0</v>
      </c>
      <c r="G69" s="14">
        <v>0</v>
      </c>
      <c r="H69" s="14">
        <v>0</v>
      </c>
      <c r="I69" t="s">
        <v>408</v>
      </c>
      <c r="J69" s="14">
        <v>25000</v>
      </c>
      <c r="K69" s="14">
        <v>9014.84</v>
      </c>
      <c r="L69" s="14">
        <v>0</v>
      </c>
    </row>
    <row r="70" spans="1:12" ht="15">
      <c r="A70" t="s">
        <v>409</v>
      </c>
      <c r="B70" t="s">
        <v>410</v>
      </c>
      <c r="C70" t="s">
        <v>411</v>
      </c>
      <c r="D70" t="s">
        <v>412</v>
      </c>
      <c r="E70" t="s">
        <v>413</v>
      </c>
      <c r="F70" s="14">
        <v>0</v>
      </c>
      <c r="G70" s="14">
        <v>0</v>
      </c>
      <c r="H70" s="14">
        <v>0</v>
      </c>
      <c r="I70" t="s">
        <v>414</v>
      </c>
      <c r="J70" s="14">
        <v>10000</v>
      </c>
      <c r="K70" s="14">
        <v>7064.77</v>
      </c>
      <c r="L70" s="14">
        <v>0</v>
      </c>
    </row>
    <row r="71" spans="1:12" ht="15">
      <c r="A71" t="s">
        <v>415</v>
      </c>
      <c r="B71" t="s">
        <v>416</v>
      </c>
      <c r="C71" t="s">
        <v>417</v>
      </c>
      <c r="D71" t="s">
        <v>418</v>
      </c>
      <c r="E71" t="s">
        <v>419</v>
      </c>
      <c r="F71" s="14">
        <v>700000</v>
      </c>
      <c r="G71" s="14">
        <v>694140</v>
      </c>
      <c r="H71" s="14">
        <v>0</v>
      </c>
      <c r="I71" t="s">
        <v>420</v>
      </c>
      <c r="J71" s="14">
        <v>615000</v>
      </c>
      <c r="K71" s="14">
        <v>619590.22</v>
      </c>
      <c r="L71" s="14">
        <v>0</v>
      </c>
    </row>
    <row r="72" spans="1:12" ht="15">
      <c r="A72" t="s">
        <v>421</v>
      </c>
      <c r="B72" t="s">
        <v>422</v>
      </c>
      <c r="C72" t="s">
        <v>423</v>
      </c>
      <c r="D72" t="s">
        <v>424</v>
      </c>
      <c r="E72" t="s">
        <v>425</v>
      </c>
      <c r="F72" s="14">
        <v>0</v>
      </c>
      <c r="G72" s="14">
        <v>0</v>
      </c>
      <c r="H72" s="14">
        <v>0</v>
      </c>
      <c r="I72" t="s">
        <v>426</v>
      </c>
      <c r="J72" s="14">
        <v>35000</v>
      </c>
      <c r="K72" s="14">
        <v>30197.72</v>
      </c>
      <c r="L72" s="14">
        <v>0</v>
      </c>
    </row>
    <row r="73" spans="1:12" ht="15">
      <c r="A73" t="s">
        <v>427</v>
      </c>
      <c r="B73" t="s">
        <v>428</v>
      </c>
      <c r="C73" t="s">
        <v>429</v>
      </c>
      <c r="D73" t="s">
        <v>430</v>
      </c>
      <c r="E73" t="s">
        <v>431</v>
      </c>
      <c r="F73" s="14">
        <v>0</v>
      </c>
      <c r="G73" s="14">
        <v>0</v>
      </c>
      <c r="H73" s="14">
        <v>0</v>
      </c>
      <c r="I73" t="s">
        <v>432</v>
      </c>
      <c r="J73" s="14">
        <v>50000</v>
      </c>
      <c r="K73" s="14">
        <v>44352.06</v>
      </c>
      <c r="L73" s="14">
        <v>0</v>
      </c>
    </row>
    <row r="74" spans="1:12" ht="15">
      <c r="A74" t="s">
        <v>433</v>
      </c>
      <c r="B74" t="s">
        <v>434</v>
      </c>
      <c r="C74" t="s">
        <v>435</v>
      </c>
      <c r="D74" t="s">
        <v>436</v>
      </c>
      <c r="E74" t="s">
        <v>437</v>
      </c>
      <c r="F74" s="14">
        <v>51000</v>
      </c>
      <c r="G74" s="14">
        <v>14330.79</v>
      </c>
      <c r="H74" s="14">
        <v>0</v>
      </c>
      <c r="I74" t="s">
        <v>438</v>
      </c>
      <c r="J74" s="14">
        <v>1000</v>
      </c>
      <c r="K74" s="14">
        <v>1321.91</v>
      </c>
      <c r="L74" s="14">
        <v>0</v>
      </c>
    </row>
    <row r="75" spans="1:12" ht="15">
      <c r="A75" t="s">
        <v>439</v>
      </c>
      <c r="B75" t="s">
        <v>440</v>
      </c>
      <c r="C75" t="s">
        <v>441</v>
      </c>
      <c r="D75" t="s">
        <v>442</v>
      </c>
      <c r="E75" t="s">
        <v>443</v>
      </c>
      <c r="F75" s="14">
        <v>0</v>
      </c>
      <c r="G75" s="14">
        <v>0</v>
      </c>
      <c r="H75" s="14">
        <v>0</v>
      </c>
      <c r="I75" t="s">
        <v>444</v>
      </c>
      <c r="J75" s="14">
        <v>50000</v>
      </c>
      <c r="K75" s="14">
        <v>13008.88</v>
      </c>
      <c r="L75" s="14">
        <v>0</v>
      </c>
    </row>
    <row r="76" spans="1:12" ht="15">
      <c r="A76" t="s">
        <v>445</v>
      </c>
      <c r="B76" t="s">
        <v>446</v>
      </c>
      <c r="C76" t="s">
        <v>447</v>
      </c>
      <c r="D76" t="s">
        <v>448</v>
      </c>
      <c r="E76" t="s">
        <v>449</v>
      </c>
      <c r="F76" s="14">
        <v>97250</v>
      </c>
      <c r="G76" s="14">
        <v>37684.85</v>
      </c>
      <c r="H76" s="14">
        <v>0</v>
      </c>
      <c r="I76" t="s">
        <v>450</v>
      </c>
      <c r="J76" s="14">
        <v>10000</v>
      </c>
      <c r="K76" s="14">
        <v>3988.13</v>
      </c>
      <c r="L76" s="14">
        <v>0</v>
      </c>
    </row>
    <row r="77" spans="1:12" ht="15">
      <c r="A77" t="s">
        <v>451</v>
      </c>
      <c r="B77" t="s">
        <v>452</v>
      </c>
      <c r="C77" t="s">
        <v>453</v>
      </c>
      <c r="D77" t="s">
        <v>454</v>
      </c>
      <c r="E77" t="s">
        <v>455</v>
      </c>
      <c r="F77" s="14">
        <v>0</v>
      </c>
      <c r="G77" s="14">
        <v>0</v>
      </c>
      <c r="H77" s="14">
        <v>0</v>
      </c>
      <c r="I77" t="s">
        <v>456</v>
      </c>
      <c r="J77" s="14">
        <v>87250</v>
      </c>
      <c r="K77" s="14">
        <v>33696.72</v>
      </c>
      <c r="L77" s="14">
        <v>0</v>
      </c>
    </row>
    <row r="78" spans="1:12" ht="15">
      <c r="A78" t="s">
        <v>457</v>
      </c>
      <c r="B78" t="s">
        <v>458</v>
      </c>
      <c r="C78" t="s">
        <v>459</v>
      </c>
      <c r="D78" t="s">
        <v>460</v>
      </c>
      <c r="E78" t="s">
        <v>461</v>
      </c>
      <c r="F78" s="14">
        <v>258152</v>
      </c>
      <c r="G78" s="14">
        <v>327435.57</v>
      </c>
      <c r="H78" s="14">
        <v>0</v>
      </c>
      <c r="I78" t="s">
        <v>462</v>
      </c>
      <c r="J78" s="14">
        <v>17152</v>
      </c>
      <c r="K78" s="14">
        <v>4222.58</v>
      </c>
      <c r="L78" s="14">
        <v>0</v>
      </c>
    </row>
    <row r="79" spans="1:12" ht="15">
      <c r="A79" t="s">
        <v>463</v>
      </c>
      <c r="B79" t="s">
        <v>464</v>
      </c>
      <c r="C79" t="s">
        <v>465</v>
      </c>
      <c r="D79" t="s">
        <v>466</v>
      </c>
      <c r="E79" t="s">
        <v>467</v>
      </c>
      <c r="F79" s="14">
        <v>0</v>
      </c>
      <c r="G79" s="14">
        <v>0</v>
      </c>
      <c r="H79" s="14">
        <v>0</v>
      </c>
      <c r="I79" t="s">
        <v>468</v>
      </c>
      <c r="J79" s="14">
        <v>121000</v>
      </c>
      <c r="K79" s="14">
        <v>151428.55</v>
      </c>
      <c r="L79" s="14">
        <v>0</v>
      </c>
    </row>
    <row r="80" spans="1:12" ht="15">
      <c r="A80" t="s">
        <v>469</v>
      </c>
      <c r="B80" t="s">
        <v>470</v>
      </c>
      <c r="C80" t="s">
        <v>471</v>
      </c>
      <c r="D80" t="s">
        <v>472</v>
      </c>
      <c r="E80" t="s">
        <v>473</v>
      </c>
      <c r="F80" s="14">
        <v>0</v>
      </c>
      <c r="G80" s="14">
        <v>0</v>
      </c>
      <c r="H80" s="14">
        <v>0</v>
      </c>
      <c r="I80" t="s">
        <v>474</v>
      </c>
      <c r="J80" s="14">
        <v>120000</v>
      </c>
      <c r="K80" s="14">
        <v>171784.44</v>
      </c>
      <c r="L80" s="14">
        <v>0</v>
      </c>
    </row>
    <row r="81" spans="1:12" ht="15">
      <c r="A81" t="s">
        <v>475</v>
      </c>
      <c r="B81" t="s">
        <v>476</v>
      </c>
      <c r="C81" t="s">
        <v>477</v>
      </c>
      <c r="D81" t="s">
        <v>478</v>
      </c>
      <c r="E81" t="s">
        <v>479</v>
      </c>
      <c r="F81" s="14">
        <v>3000</v>
      </c>
      <c r="G81" s="14">
        <v>9985</v>
      </c>
      <c r="H81" s="14">
        <v>0</v>
      </c>
      <c r="I81" t="s">
        <v>480</v>
      </c>
      <c r="J81" s="14">
        <v>3000</v>
      </c>
      <c r="K81" s="14">
        <v>3685</v>
      </c>
      <c r="L81" s="14">
        <v>0</v>
      </c>
    </row>
    <row r="82" spans="1:12" ht="15">
      <c r="A82" t="s">
        <v>481</v>
      </c>
      <c r="B82" t="s">
        <v>482</v>
      </c>
      <c r="C82" t="s">
        <v>483</v>
      </c>
      <c r="D82" t="s">
        <v>484</v>
      </c>
      <c r="E82" t="s">
        <v>485</v>
      </c>
      <c r="F82" s="14">
        <v>0</v>
      </c>
      <c r="G82" s="14">
        <v>0</v>
      </c>
      <c r="H82" s="14">
        <v>0</v>
      </c>
      <c r="I82" t="s">
        <v>486</v>
      </c>
      <c r="J82" s="14">
        <v>0</v>
      </c>
      <c r="K82" s="14">
        <v>6300</v>
      </c>
      <c r="L82" s="14">
        <v>0</v>
      </c>
    </row>
    <row r="83" spans="1:12" ht="15">
      <c r="A83" t="s">
        <v>487</v>
      </c>
      <c r="B83" t="s">
        <v>488</v>
      </c>
      <c r="C83" t="s">
        <v>489</v>
      </c>
      <c r="D83" t="s">
        <v>490</v>
      </c>
      <c r="E83" t="s">
        <v>491</v>
      </c>
      <c r="F83" s="14">
        <v>2619100</v>
      </c>
      <c r="G83" s="14">
        <v>2579719.83</v>
      </c>
      <c r="H83" s="14">
        <v>0</v>
      </c>
      <c r="I83" t="s">
        <v>492</v>
      </c>
      <c r="J83" s="14">
        <v>1405000</v>
      </c>
      <c r="K83" s="14">
        <v>449199.08</v>
      </c>
      <c r="L83" s="14">
        <v>0</v>
      </c>
    </row>
    <row r="84" spans="1:12" ht="15">
      <c r="A84" t="s">
        <v>493</v>
      </c>
      <c r="B84" t="s">
        <v>494</v>
      </c>
      <c r="C84" t="s">
        <v>495</v>
      </c>
      <c r="D84" t="s">
        <v>496</v>
      </c>
      <c r="E84" t="s">
        <v>497</v>
      </c>
      <c r="F84" s="14">
        <v>0</v>
      </c>
      <c r="G84" s="14">
        <v>0</v>
      </c>
      <c r="H84" s="14">
        <v>0</v>
      </c>
      <c r="I84" t="s">
        <v>498</v>
      </c>
      <c r="J84" s="14">
        <v>949100</v>
      </c>
      <c r="K84" s="14">
        <v>2027362.68</v>
      </c>
      <c r="L84" s="14">
        <v>0</v>
      </c>
    </row>
    <row r="85" spans="1:12" ht="15">
      <c r="A85" t="s">
        <v>499</v>
      </c>
      <c r="B85" t="s">
        <v>500</v>
      </c>
      <c r="C85" t="s">
        <v>501</v>
      </c>
      <c r="D85" t="s">
        <v>502</v>
      </c>
      <c r="E85" t="s">
        <v>503</v>
      </c>
      <c r="F85" s="14">
        <v>0</v>
      </c>
      <c r="G85" s="14">
        <v>0</v>
      </c>
      <c r="H85" s="14">
        <v>0</v>
      </c>
      <c r="I85" t="s">
        <v>504</v>
      </c>
      <c r="J85" s="14">
        <v>265000</v>
      </c>
      <c r="K85" s="14">
        <v>103158.07</v>
      </c>
      <c r="L85" s="14">
        <v>0</v>
      </c>
    </row>
    <row r="86" spans="1:12" ht="15">
      <c r="A86" t="s">
        <v>505</v>
      </c>
      <c r="B86" t="s">
        <v>506</v>
      </c>
      <c r="C86" t="s">
        <v>507</v>
      </c>
      <c r="D86" t="s">
        <v>508</v>
      </c>
      <c r="E86" t="s">
        <v>509</v>
      </c>
      <c r="F86" s="14">
        <v>20000</v>
      </c>
      <c r="G86" s="14">
        <v>40610.06</v>
      </c>
      <c r="H86" s="14">
        <v>0</v>
      </c>
      <c r="I86" t="s">
        <v>510</v>
      </c>
      <c r="J86" s="14">
        <v>20000</v>
      </c>
      <c r="K86" s="14">
        <v>40610.06</v>
      </c>
      <c r="L86" s="14">
        <v>0</v>
      </c>
    </row>
    <row r="87" spans="1:12" ht="15">
      <c r="A87" t="s">
        <v>511</v>
      </c>
      <c r="B87" t="s">
        <v>512</v>
      </c>
      <c r="C87" t="s">
        <v>513</v>
      </c>
      <c r="D87" t="s">
        <v>514</v>
      </c>
      <c r="E87" t="s">
        <v>515</v>
      </c>
      <c r="F87" s="14">
        <v>165000</v>
      </c>
      <c r="G87" s="14">
        <v>152695.17</v>
      </c>
      <c r="H87" s="14">
        <v>0</v>
      </c>
      <c r="I87" t="s">
        <v>516</v>
      </c>
      <c r="J87" s="14">
        <v>15000</v>
      </c>
      <c r="K87" s="14">
        <v>8762.5</v>
      </c>
      <c r="L87" s="14">
        <v>0</v>
      </c>
    </row>
    <row r="88" spans="1:12" ht="15">
      <c r="A88" t="s">
        <v>517</v>
      </c>
      <c r="B88" t="s">
        <v>518</v>
      </c>
      <c r="C88" t="s">
        <v>519</v>
      </c>
      <c r="D88" t="s">
        <v>520</v>
      </c>
      <c r="E88" t="s">
        <v>521</v>
      </c>
      <c r="F88" s="14">
        <v>0</v>
      </c>
      <c r="G88" s="14">
        <v>0</v>
      </c>
      <c r="H88" s="14">
        <v>0</v>
      </c>
      <c r="I88" t="s">
        <v>522</v>
      </c>
      <c r="J88" s="14">
        <v>20000</v>
      </c>
      <c r="K88" s="14">
        <v>0</v>
      </c>
      <c r="L88" s="14">
        <v>0</v>
      </c>
    </row>
    <row r="89" spans="1:12" ht="15">
      <c r="A89" t="s">
        <v>523</v>
      </c>
      <c r="B89" t="s">
        <v>524</v>
      </c>
      <c r="C89" t="s">
        <v>525</v>
      </c>
      <c r="D89" t="s">
        <v>526</v>
      </c>
      <c r="E89" t="s">
        <v>527</v>
      </c>
      <c r="F89" s="14">
        <v>0</v>
      </c>
      <c r="G89" s="14">
        <v>0</v>
      </c>
      <c r="H89" s="14">
        <v>0</v>
      </c>
      <c r="I89" t="s">
        <v>528</v>
      </c>
      <c r="J89" s="14">
        <v>75000</v>
      </c>
      <c r="K89" s="14">
        <v>75399.75</v>
      </c>
      <c r="L89" s="14">
        <v>0</v>
      </c>
    </row>
    <row r="90" spans="1:12" ht="15">
      <c r="A90" t="s">
        <v>529</v>
      </c>
      <c r="B90" t="s">
        <v>530</v>
      </c>
      <c r="C90" t="s">
        <v>531</v>
      </c>
      <c r="D90" t="s">
        <v>532</v>
      </c>
      <c r="E90" t="s">
        <v>533</v>
      </c>
      <c r="F90" s="14">
        <v>0</v>
      </c>
      <c r="G90" s="14">
        <v>0</v>
      </c>
      <c r="H90" s="14">
        <v>0</v>
      </c>
      <c r="I90" t="s">
        <v>534</v>
      </c>
      <c r="J90" s="14">
        <v>55000</v>
      </c>
      <c r="K90" s="14">
        <v>68532.92</v>
      </c>
      <c r="L90" s="14">
        <v>0</v>
      </c>
    </row>
    <row r="91" spans="1:12" ht="15">
      <c r="A91" t="s">
        <v>535</v>
      </c>
      <c r="B91" t="s">
        <v>536</v>
      </c>
      <c r="C91" t="s">
        <v>537</v>
      </c>
      <c r="D91" t="s">
        <v>538</v>
      </c>
      <c r="E91" t="s">
        <v>539</v>
      </c>
      <c r="F91" s="14">
        <v>17848</v>
      </c>
      <c r="G91" s="14">
        <v>30824.45</v>
      </c>
      <c r="H91" s="14">
        <v>0</v>
      </c>
      <c r="I91" t="s">
        <v>540</v>
      </c>
      <c r="J91" s="14">
        <v>7848</v>
      </c>
      <c r="K91" s="14">
        <v>27189.56</v>
      </c>
      <c r="L91" s="14">
        <v>0</v>
      </c>
    </row>
    <row r="92" spans="1:12" ht="15">
      <c r="A92" t="s">
        <v>541</v>
      </c>
      <c r="B92" t="s">
        <v>542</v>
      </c>
      <c r="C92" t="s">
        <v>543</v>
      </c>
      <c r="D92" t="s">
        <v>544</v>
      </c>
      <c r="E92" t="s">
        <v>545</v>
      </c>
      <c r="F92" s="14">
        <v>0</v>
      </c>
      <c r="G92" s="14">
        <v>0</v>
      </c>
      <c r="H92" s="14">
        <v>0</v>
      </c>
      <c r="I92" t="s">
        <v>546</v>
      </c>
      <c r="J92" s="14">
        <v>10000</v>
      </c>
      <c r="K92" s="14">
        <v>3634.89</v>
      </c>
      <c r="L92" s="14">
        <v>0</v>
      </c>
    </row>
    <row r="93" spans="1:12" ht="15">
      <c r="A93" t="s">
        <v>547</v>
      </c>
      <c r="B93" t="s">
        <v>548</v>
      </c>
      <c r="C93" t="s">
        <v>549</v>
      </c>
      <c r="D93" t="s">
        <v>550</v>
      </c>
      <c r="E93" t="s">
        <v>551</v>
      </c>
      <c r="F93" s="14">
        <v>500</v>
      </c>
      <c r="G93" s="14">
        <v>19476.27</v>
      </c>
      <c r="H93" s="14">
        <v>0</v>
      </c>
      <c r="I93" t="s">
        <v>552</v>
      </c>
      <c r="J93" s="14">
        <v>0</v>
      </c>
      <c r="K93" s="14">
        <v>540.32</v>
      </c>
      <c r="L93" s="14">
        <v>0</v>
      </c>
    </row>
    <row r="94" spans="1:12" ht="15">
      <c r="A94" t="s">
        <v>553</v>
      </c>
      <c r="B94" t="s">
        <v>554</v>
      </c>
      <c r="C94" t="s">
        <v>555</v>
      </c>
      <c r="D94" t="s">
        <v>556</v>
      </c>
      <c r="E94" t="s">
        <v>557</v>
      </c>
      <c r="F94" s="14">
        <v>0</v>
      </c>
      <c r="G94" s="14">
        <v>0</v>
      </c>
      <c r="H94" s="14">
        <v>0</v>
      </c>
      <c r="I94" t="s">
        <v>558</v>
      </c>
      <c r="J94" s="14">
        <v>500</v>
      </c>
      <c r="K94" s="14">
        <v>18935.95</v>
      </c>
      <c r="L94" s="14">
        <v>0</v>
      </c>
    </row>
    <row r="95" spans="1:12" ht="15">
      <c r="A95" t="s">
        <v>559</v>
      </c>
      <c r="B95" t="s">
        <v>560</v>
      </c>
      <c r="C95" t="s">
        <v>561</v>
      </c>
      <c r="D95" t="s">
        <v>562</v>
      </c>
      <c r="E95" t="s">
        <v>563</v>
      </c>
      <c r="F95" s="14">
        <v>230900</v>
      </c>
      <c r="G95" s="14">
        <v>155131.69</v>
      </c>
      <c r="H95" s="14">
        <v>0</v>
      </c>
      <c r="I95" t="s">
        <v>564</v>
      </c>
      <c r="J95" s="14">
        <v>0</v>
      </c>
      <c r="K95" s="14">
        <v>6071.5</v>
      </c>
      <c r="L95" s="14">
        <v>0</v>
      </c>
    </row>
    <row r="96" spans="1:12" ht="15">
      <c r="A96" t="s">
        <v>565</v>
      </c>
      <c r="B96" t="s">
        <v>566</v>
      </c>
      <c r="C96" t="s">
        <v>567</v>
      </c>
      <c r="D96" t="s">
        <v>568</v>
      </c>
      <c r="E96" t="s">
        <v>569</v>
      </c>
      <c r="F96" s="14">
        <v>0</v>
      </c>
      <c r="G96" s="14">
        <v>0</v>
      </c>
      <c r="H96" s="14">
        <v>0</v>
      </c>
      <c r="I96" t="s">
        <v>570</v>
      </c>
      <c r="J96" s="14">
        <v>10000</v>
      </c>
      <c r="K96" s="14">
        <v>9816.76</v>
      </c>
      <c r="L96" s="14">
        <v>0</v>
      </c>
    </row>
    <row r="97" spans="1:12" ht="15">
      <c r="A97" t="s">
        <v>571</v>
      </c>
      <c r="B97" t="s">
        <v>572</v>
      </c>
      <c r="C97" t="s">
        <v>573</v>
      </c>
      <c r="D97" t="s">
        <v>574</v>
      </c>
      <c r="E97" t="s">
        <v>575</v>
      </c>
      <c r="F97" s="14">
        <v>0</v>
      </c>
      <c r="G97" s="14">
        <v>0</v>
      </c>
      <c r="H97" s="14">
        <v>0</v>
      </c>
      <c r="I97" t="s">
        <v>576</v>
      </c>
      <c r="J97" s="14">
        <v>155900</v>
      </c>
      <c r="K97" s="14">
        <v>123140.13</v>
      </c>
      <c r="L97" s="14">
        <v>0</v>
      </c>
    </row>
    <row r="98" spans="1:12" ht="15">
      <c r="A98" t="s">
        <v>577</v>
      </c>
      <c r="B98" t="s">
        <v>578</v>
      </c>
      <c r="C98" t="s">
        <v>579</v>
      </c>
      <c r="D98" t="s">
        <v>580</v>
      </c>
      <c r="E98" t="s">
        <v>581</v>
      </c>
      <c r="F98" s="14">
        <v>0</v>
      </c>
      <c r="G98" s="14">
        <v>0</v>
      </c>
      <c r="H98" s="14">
        <v>0</v>
      </c>
      <c r="I98" t="s">
        <v>582</v>
      </c>
      <c r="J98" s="14">
        <v>65000</v>
      </c>
      <c r="K98" s="14">
        <v>16103.3</v>
      </c>
      <c r="L98" s="14">
        <v>0</v>
      </c>
    </row>
    <row r="99" spans="1:12" ht="15">
      <c r="A99" t="s">
        <v>583</v>
      </c>
      <c r="B99" t="s">
        <v>584</v>
      </c>
      <c r="C99" t="s">
        <v>585</v>
      </c>
      <c r="D99" t="s">
        <v>586</v>
      </c>
      <c r="E99" t="s">
        <v>587</v>
      </c>
      <c r="F99" s="14">
        <v>38000</v>
      </c>
      <c r="G99" s="14">
        <v>73181.61</v>
      </c>
      <c r="H99" s="14">
        <v>0</v>
      </c>
      <c r="I99" t="s">
        <v>588</v>
      </c>
      <c r="J99" s="14">
        <v>0</v>
      </c>
      <c r="K99" s="14">
        <v>70</v>
      </c>
      <c r="L99" s="14">
        <v>0</v>
      </c>
    </row>
    <row r="100" spans="1:12" ht="15">
      <c r="A100" t="s">
        <v>589</v>
      </c>
      <c r="B100" t="s">
        <v>590</v>
      </c>
      <c r="C100" t="s">
        <v>591</v>
      </c>
      <c r="D100" t="s">
        <v>592</v>
      </c>
      <c r="E100" t="s">
        <v>593</v>
      </c>
      <c r="F100" s="14">
        <v>0</v>
      </c>
      <c r="G100" s="14">
        <v>0</v>
      </c>
      <c r="H100" s="14">
        <v>0</v>
      </c>
      <c r="I100" t="s">
        <v>594</v>
      </c>
      <c r="J100" s="14">
        <v>28000</v>
      </c>
      <c r="K100" s="14">
        <v>62101.81</v>
      </c>
      <c r="L100" s="14">
        <v>0</v>
      </c>
    </row>
    <row r="101" spans="1:12" ht="15">
      <c r="A101" t="s">
        <v>595</v>
      </c>
      <c r="B101" t="s">
        <v>596</v>
      </c>
      <c r="C101" t="s">
        <v>597</v>
      </c>
      <c r="D101" t="s">
        <v>598</v>
      </c>
      <c r="E101" t="s">
        <v>599</v>
      </c>
      <c r="F101" s="14">
        <v>0</v>
      </c>
      <c r="G101" s="14">
        <v>0</v>
      </c>
      <c r="H101" s="14">
        <v>0</v>
      </c>
      <c r="I101" t="s">
        <v>600</v>
      </c>
      <c r="J101" s="14">
        <v>10000</v>
      </c>
      <c r="K101" s="14">
        <v>11009.8</v>
      </c>
      <c r="L101" s="14">
        <v>0</v>
      </c>
    </row>
    <row r="102" spans="1:12" ht="15">
      <c r="A102" t="s">
        <v>601</v>
      </c>
      <c r="B102" t="s">
        <v>602</v>
      </c>
      <c r="C102" t="s">
        <v>603</v>
      </c>
      <c r="D102" t="s">
        <v>604</v>
      </c>
      <c r="E102" t="s">
        <v>605</v>
      </c>
      <c r="F102" s="14">
        <v>18200</v>
      </c>
      <c r="G102" s="14">
        <v>11478.5</v>
      </c>
      <c r="H102" s="14">
        <v>0</v>
      </c>
      <c r="I102" t="s">
        <v>606</v>
      </c>
      <c r="J102" s="14">
        <v>15000</v>
      </c>
      <c r="K102" s="14">
        <v>11126</v>
      </c>
      <c r="L102" s="14">
        <v>0</v>
      </c>
    </row>
    <row r="103" spans="1:12" ht="15">
      <c r="A103" t="s">
        <v>607</v>
      </c>
      <c r="B103" t="s">
        <v>608</v>
      </c>
      <c r="C103" t="s">
        <v>609</v>
      </c>
      <c r="D103" t="s">
        <v>610</v>
      </c>
      <c r="E103" t="s">
        <v>611</v>
      </c>
      <c r="F103" s="14">
        <v>0</v>
      </c>
      <c r="G103" s="14">
        <v>0</v>
      </c>
      <c r="H103" s="14">
        <v>0</v>
      </c>
      <c r="I103" t="s">
        <v>612</v>
      </c>
      <c r="J103" s="14">
        <v>3000</v>
      </c>
      <c r="K103" s="14">
        <v>0</v>
      </c>
      <c r="L103" s="14">
        <v>0</v>
      </c>
    </row>
    <row r="104" spans="1:12" ht="15">
      <c r="A104" t="s">
        <v>613</v>
      </c>
      <c r="B104" t="s">
        <v>614</v>
      </c>
      <c r="C104" t="s">
        <v>615</v>
      </c>
      <c r="D104" t="s">
        <v>616</v>
      </c>
      <c r="E104" t="s">
        <v>617</v>
      </c>
      <c r="F104" s="14">
        <v>0</v>
      </c>
      <c r="G104" s="14">
        <v>0</v>
      </c>
      <c r="H104" s="14">
        <v>0</v>
      </c>
      <c r="I104" t="s">
        <v>618</v>
      </c>
      <c r="J104" s="14">
        <v>200</v>
      </c>
      <c r="K104" s="14">
        <v>352.5</v>
      </c>
      <c r="L104" s="14">
        <v>0</v>
      </c>
    </row>
    <row r="105" spans="1:12" ht="15">
      <c r="A105" t="s">
        <v>619</v>
      </c>
      <c r="B105" t="s">
        <v>620</v>
      </c>
      <c r="C105" t="s">
        <v>621</v>
      </c>
      <c r="D105" t="s">
        <v>622</v>
      </c>
      <c r="E105" t="s">
        <v>623</v>
      </c>
      <c r="F105" s="14">
        <v>288000</v>
      </c>
      <c r="G105" s="14">
        <v>156373.43</v>
      </c>
      <c r="H105" s="14">
        <v>0</v>
      </c>
      <c r="I105" t="s">
        <v>624</v>
      </c>
      <c r="J105" s="14">
        <v>150000</v>
      </c>
      <c r="K105" s="14">
        <v>124751.23</v>
      </c>
      <c r="L105" s="14">
        <v>0</v>
      </c>
    </row>
    <row r="106" spans="1:12" ht="15">
      <c r="A106" t="s">
        <v>625</v>
      </c>
      <c r="B106" t="s">
        <v>626</v>
      </c>
      <c r="C106" t="s">
        <v>627</v>
      </c>
      <c r="D106" t="s">
        <v>628</v>
      </c>
      <c r="E106" t="s">
        <v>629</v>
      </c>
      <c r="F106" s="14">
        <v>0</v>
      </c>
      <c r="G106" s="14">
        <v>0</v>
      </c>
      <c r="H106" s="14">
        <v>0</v>
      </c>
      <c r="I106" t="s">
        <v>630</v>
      </c>
      <c r="J106" s="14">
        <v>120000</v>
      </c>
      <c r="K106" s="14">
        <v>16296.74</v>
      </c>
      <c r="L106" s="14">
        <v>0</v>
      </c>
    </row>
    <row r="107" spans="1:12" ht="15">
      <c r="A107" t="s">
        <v>631</v>
      </c>
      <c r="B107" t="s">
        <v>632</v>
      </c>
      <c r="C107" t="s">
        <v>633</v>
      </c>
      <c r="D107" t="s">
        <v>634</v>
      </c>
      <c r="E107" t="s">
        <v>635</v>
      </c>
      <c r="F107" s="14">
        <v>0</v>
      </c>
      <c r="G107" s="14">
        <v>0</v>
      </c>
      <c r="H107" s="14">
        <v>0</v>
      </c>
      <c r="I107" t="s">
        <v>636</v>
      </c>
      <c r="J107" s="14">
        <v>18000</v>
      </c>
      <c r="K107" s="14">
        <v>15325.46</v>
      </c>
      <c r="L107" s="14">
        <v>0</v>
      </c>
    </row>
    <row r="108" spans="1:12" ht="15">
      <c r="A108" t="s">
        <v>637</v>
      </c>
      <c r="B108" t="s">
        <v>638</v>
      </c>
      <c r="C108" t="s">
        <v>639</v>
      </c>
      <c r="D108" t="s">
        <v>640</v>
      </c>
      <c r="E108" t="s">
        <v>641</v>
      </c>
      <c r="F108" s="14">
        <v>28550</v>
      </c>
      <c r="G108" s="14">
        <v>24130.33</v>
      </c>
      <c r="H108" s="14">
        <v>0</v>
      </c>
      <c r="I108" t="s">
        <v>642</v>
      </c>
      <c r="J108" s="14">
        <v>28000</v>
      </c>
      <c r="K108" s="14">
        <v>22034.57</v>
      </c>
      <c r="L108" s="14">
        <v>0</v>
      </c>
    </row>
    <row r="109" spans="1:12" ht="15">
      <c r="A109" t="s">
        <v>643</v>
      </c>
      <c r="B109" t="s">
        <v>644</v>
      </c>
      <c r="C109" t="s">
        <v>645</v>
      </c>
      <c r="D109" t="s">
        <v>646</v>
      </c>
      <c r="E109" t="s">
        <v>647</v>
      </c>
      <c r="F109" s="14">
        <v>0</v>
      </c>
      <c r="G109" s="14">
        <v>0</v>
      </c>
      <c r="H109" s="14">
        <v>0</v>
      </c>
      <c r="I109" t="s">
        <v>648</v>
      </c>
      <c r="J109" s="14">
        <v>550</v>
      </c>
      <c r="K109" s="14">
        <v>2095.76</v>
      </c>
      <c r="L109" s="14">
        <v>0</v>
      </c>
    </row>
    <row r="110" spans="1:12" ht="15">
      <c r="A110" t="s">
        <v>649</v>
      </c>
      <c r="B110" t="s">
        <v>650</v>
      </c>
      <c r="C110" t="s">
        <v>651</v>
      </c>
      <c r="D110" t="s">
        <v>652</v>
      </c>
      <c r="E110" t="s">
        <v>653</v>
      </c>
      <c r="F110" s="14">
        <v>12000</v>
      </c>
      <c r="G110" s="14">
        <v>16780.54</v>
      </c>
      <c r="H110" s="14">
        <v>0</v>
      </c>
      <c r="I110" t="s">
        <v>654</v>
      </c>
      <c r="J110" s="14">
        <v>12000</v>
      </c>
      <c r="K110" s="14">
        <v>14784.66</v>
      </c>
      <c r="L110" s="14">
        <v>0</v>
      </c>
    </row>
    <row r="111" spans="1:12" ht="15">
      <c r="A111" t="s">
        <v>655</v>
      </c>
      <c r="B111" t="s">
        <v>656</v>
      </c>
      <c r="C111" t="s">
        <v>657</v>
      </c>
      <c r="D111" t="s">
        <v>658</v>
      </c>
      <c r="E111" t="s">
        <v>659</v>
      </c>
      <c r="F111" s="14">
        <v>0</v>
      </c>
      <c r="G111" s="14">
        <v>0</v>
      </c>
      <c r="H111" s="14">
        <v>0</v>
      </c>
      <c r="I111" t="s">
        <v>660</v>
      </c>
      <c r="J111" s="14">
        <v>0</v>
      </c>
      <c r="K111" s="14">
        <v>1812.54</v>
      </c>
      <c r="L111" s="14">
        <v>0</v>
      </c>
    </row>
    <row r="112" spans="1:12" ht="15">
      <c r="A112" t="s">
        <v>661</v>
      </c>
      <c r="B112" t="s">
        <v>662</v>
      </c>
      <c r="C112" t="s">
        <v>663</v>
      </c>
      <c r="D112" t="s">
        <v>664</v>
      </c>
      <c r="E112" t="s">
        <v>665</v>
      </c>
      <c r="F112" s="14">
        <v>0</v>
      </c>
      <c r="G112" s="14">
        <v>0</v>
      </c>
      <c r="H112" s="14">
        <v>0</v>
      </c>
      <c r="I112" t="s">
        <v>666</v>
      </c>
      <c r="J112" s="14">
        <v>0</v>
      </c>
      <c r="K112" s="14">
        <v>183.34</v>
      </c>
      <c r="L112" s="14">
        <v>0</v>
      </c>
    </row>
    <row r="113" spans="1:12" ht="15">
      <c r="A113" t="s">
        <v>667</v>
      </c>
      <c r="B113" t="s">
        <v>668</v>
      </c>
      <c r="C113" t="s">
        <v>669</v>
      </c>
      <c r="D113" t="s">
        <v>670</v>
      </c>
      <c r="E113" t="s">
        <v>671</v>
      </c>
      <c r="F113" s="14">
        <v>0</v>
      </c>
      <c r="G113" s="14">
        <v>111</v>
      </c>
      <c r="H113" s="14">
        <v>0</v>
      </c>
      <c r="I113" t="s">
        <v>672</v>
      </c>
      <c r="J113" s="14">
        <v>0</v>
      </c>
      <c r="K113" s="14">
        <v>111</v>
      </c>
      <c r="L113" s="14">
        <v>0</v>
      </c>
    </row>
    <row r="114" spans="1:12" ht="15">
      <c r="A114" t="s">
        <v>673</v>
      </c>
      <c r="B114" t="s">
        <v>674</v>
      </c>
      <c r="C114" t="s">
        <v>675</v>
      </c>
      <c r="D114" t="s">
        <v>676</v>
      </c>
      <c r="E114" t="s">
        <v>677</v>
      </c>
      <c r="F114" s="14">
        <v>0</v>
      </c>
      <c r="G114" s="14">
        <v>299960</v>
      </c>
      <c r="H114" s="14">
        <v>0</v>
      </c>
      <c r="I114" t="s">
        <v>678</v>
      </c>
      <c r="J114" s="14">
        <v>0</v>
      </c>
      <c r="K114" s="14">
        <v>299960</v>
      </c>
      <c r="L114" s="14">
        <v>0</v>
      </c>
    </row>
    <row r="115" spans="1:12" ht="15">
      <c r="A115" t="s">
        <v>679</v>
      </c>
      <c r="B115" t="s">
        <v>680</v>
      </c>
      <c r="C115" t="s">
        <v>681</v>
      </c>
      <c r="D115" t="s">
        <v>682</v>
      </c>
      <c r="E115" t="s">
        <v>683</v>
      </c>
      <c r="F115" s="14">
        <v>0</v>
      </c>
      <c r="G115" s="14">
        <v>11400</v>
      </c>
      <c r="H115" s="14">
        <v>0</v>
      </c>
      <c r="I115" t="s">
        <v>684</v>
      </c>
      <c r="J115" s="14">
        <v>0</v>
      </c>
      <c r="K115" s="14">
        <v>11400</v>
      </c>
      <c r="L115" s="14">
        <v>0</v>
      </c>
    </row>
    <row r="116" spans="1:12" ht="15">
      <c r="A116" t="s">
        <v>685</v>
      </c>
      <c r="B116" t="s">
        <v>686</v>
      </c>
      <c r="C116" t="s">
        <v>687</v>
      </c>
      <c r="D116" t="s">
        <v>688</v>
      </c>
      <c r="E116" t="s">
        <v>689</v>
      </c>
      <c r="F116" s="14">
        <v>30000</v>
      </c>
      <c r="G116" s="14">
        <v>35661.25</v>
      </c>
      <c r="H116" s="14">
        <v>0</v>
      </c>
      <c r="I116" t="s">
        <v>690</v>
      </c>
      <c r="J116" s="14">
        <v>30000</v>
      </c>
      <c r="K116" s="14">
        <v>35661.25</v>
      </c>
      <c r="L116" s="14">
        <v>0</v>
      </c>
    </row>
    <row r="117" spans="1:12" ht="15">
      <c r="A117" t="s">
        <v>691</v>
      </c>
      <c r="B117" t="s">
        <v>692</v>
      </c>
      <c r="C117" t="s">
        <v>693</v>
      </c>
      <c r="D117" t="s">
        <v>694</v>
      </c>
      <c r="E117" t="s">
        <v>695</v>
      </c>
      <c r="F117" s="14">
        <v>53000</v>
      </c>
      <c r="G117" s="14">
        <v>55300</v>
      </c>
      <c r="H117" s="14">
        <v>0</v>
      </c>
      <c r="I117" t="s">
        <v>696</v>
      </c>
      <c r="J117" s="14">
        <v>0</v>
      </c>
      <c r="K117" s="14">
        <v>1000</v>
      </c>
      <c r="L117" s="14">
        <v>0</v>
      </c>
    </row>
    <row r="118" spans="1:12" ht="15">
      <c r="A118" t="s">
        <v>697</v>
      </c>
      <c r="B118" t="s">
        <v>698</v>
      </c>
      <c r="C118" t="s">
        <v>699</v>
      </c>
      <c r="D118" t="s">
        <v>700</v>
      </c>
      <c r="E118" t="s">
        <v>701</v>
      </c>
      <c r="F118" s="14">
        <v>0</v>
      </c>
      <c r="G118" s="14">
        <v>0</v>
      </c>
      <c r="H118" s="14">
        <v>0</v>
      </c>
      <c r="I118" t="s">
        <v>702</v>
      </c>
      <c r="J118" s="14">
        <v>27000</v>
      </c>
      <c r="K118" s="14">
        <v>42000</v>
      </c>
      <c r="L118" s="14">
        <v>0</v>
      </c>
    </row>
    <row r="119" spans="1:12" ht="15">
      <c r="A119" t="s">
        <v>703</v>
      </c>
      <c r="B119" t="s">
        <v>704</v>
      </c>
      <c r="C119" t="s">
        <v>705</v>
      </c>
      <c r="D119" t="s">
        <v>706</v>
      </c>
      <c r="E119" t="s">
        <v>707</v>
      </c>
      <c r="F119" s="14">
        <v>0</v>
      </c>
      <c r="G119" s="14">
        <v>0</v>
      </c>
      <c r="H119" s="14">
        <v>0</v>
      </c>
      <c r="I119" t="s">
        <v>708</v>
      </c>
      <c r="J119" s="14">
        <v>25000</v>
      </c>
      <c r="K119" s="14">
        <v>12300</v>
      </c>
      <c r="L119" s="14">
        <v>0</v>
      </c>
    </row>
    <row r="120" spans="1:12" ht="15">
      <c r="A120" t="s">
        <v>709</v>
      </c>
      <c r="B120" t="s">
        <v>710</v>
      </c>
      <c r="C120" t="s">
        <v>711</v>
      </c>
      <c r="D120" t="s">
        <v>712</v>
      </c>
      <c r="E120" t="s">
        <v>713</v>
      </c>
      <c r="F120" s="14">
        <v>0</v>
      </c>
      <c r="G120" s="14">
        <v>0</v>
      </c>
      <c r="H120" s="14">
        <v>0</v>
      </c>
      <c r="I120" t="s">
        <v>714</v>
      </c>
      <c r="J120" s="14">
        <v>1000</v>
      </c>
      <c r="K120" s="14">
        <v>0</v>
      </c>
      <c r="L120" s="14">
        <v>0</v>
      </c>
    </row>
    <row r="121" spans="1:12" ht="15">
      <c r="A121" t="s">
        <v>715</v>
      </c>
      <c r="B121" t="s">
        <v>716</v>
      </c>
      <c r="C121" t="s">
        <v>717</v>
      </c>
      <c r="D121" t="s">
        <v>718</v>
      </c>
      <c r="E121" t="s">
        <v>719</v>
      </c>
      <c r="F121" s="14">
        <v>0</v>
      </c>
      <c r="G121" s="14">
        <v>125.66</v>
      </c>
      <c r="H121" s="14">
        <v>0</v>
      </c>
      <c r="I121" t="s">
        <v>720</v>
      </c>
      <c r="J121" s="14">
        <v>0</v>
      </c>
      <c r="K121" s="14">
        <v>125.66</v>
      </c>
      <c r="L121" s="14">
        <v>0</v>
      </c>
    </row>
    <row r="122" spans="1:12" ht="15">
      <c r="A122" t="s">
        <v>721</v>
      </c>
      <c r="B122" t="s">
        <v>722</v>
      </c>
      <c r="C122" t="s">
        <v>723</v>
      </c>
      <c r="D122" t="s">
        <v>724</v>
      </c>
      <c r="E122" t="s">
        <v>725</v>
      </c>
      <c r="F122" s="14">
        <v>235000</v>
      </c>
      <c r="G122" s="14">
        <v>225911.86</v>
      </c>
      <c r="H122" s="14">
        <v>0</v>
      </c>
      <c r="I122" t="s">
        <v>726</v>
      </c>
      <c r="J122" s="14">
        <v>150000</v>
      </c>
      <c r="K122" s="14">
        <v>143568.75</v>
      </c>
      <c r="L122" s="14">
        <v>0</v>
      </c>
    </row>
    <row r="123" spans="1:12" ht="15">
      <c r="A123" t="s">
        <v>727</v>
      </c>
      <c r="B123" t="s">
        <v>728</v>
      </c>
      <c r="C123" t="s">
        <v>729</v>
      </c>
      <c r="D123" t="s">
        <v>730</v>
      </c>
      <c r="E123" t="s">
        <v>731</v>
      </c>
      <c r="F123" s="14">
        <v>0</v>
      </c>
      <c r="G123" s="14">
        <v>0</v>
      </c>
      <c r="H123" s="14">
        <v>0</v>
      </c>
      <c r="I123" t="s">
        <v>732</v>
      </c>
      <c r="J123" s="14">
        <v>85000</v>
      </c>
      <c r="K123" s="14">
        <v>82343.11</v>
      </c>
      <c r="L123" s="14">
        <v>0</v>
      </c>
    </row>
    <row r="124" spans="1:12" ht="15">
      <c r="A124" t="s">
        <v>733</v>
      </c>
      <c r="B124" t="s">
        <v>734</v>
      </c>
      <c r="C124" t="s">
        <v>735</v>
      </c>
      <c r="D124" t="s">
        <v>736</v>
      </c>
      <c r="E124" t="s">
        <v>737</v>
      </c>
      <c r="F124" s="14">
        <v>620000</v>
      </c>
      <c r="G124" s="14">
        <v>612266.86</v>
      </c>
      <c r="H124" s="14">
        <v>0</v>
      </c>
      <c r="I124" t="s">
        <v>738</v>
      </c>
      <c r="J124" s="14">
        <v>0</v>
      </c>
      <c r="K124" s="14">
        <v>5954.65</v>
      </c>
      <c r="L124" s="14">
        <v>0</v>
      </c>
    </row>
    <row r="125" spans="1:12" ht="15">
      <c r="A125" t="s">
        <v>739</v>
      </c>
      <c r="B125" t="s">
        <v>740</v>
      </c>
      <c r="C125" t="s">
        <v>741</v>
      </c>
      <c r="D125" t="s">
        <v>742</v>
      </c>
      <c r="E125" t="s">
        <v>743</v>
      </c>
      <c r="F125" s="14">
        <v>0</v>
      </c>
      <c r="G125" s="14">
        <v>0</v>
      </c>
      <c r="H125" s="14">
        <v>0</v>
      </c>
      <c r="I125" t="s">
        <v>744</v>
      </c>
      <c r="J125" s="14">
        <v>520000</v>
      </c>
      <c r="K125" s="14">
        <v>557022.62</v>
      </c>
      <c r="L125" s="14">
        <v>0</v>
      </c>
    </row>
    <row r="126" spans="1:12" ht="15">
      <c r="A126" t="s">
        <v>745</v>
      </c>
      <c r="B126" t="s">
        <v>746</v>
      </c>
      <c r="C126" t="s">
        <v>747</v>
      </c>
      <c r="D126" t="s">
        <v>748</v>
      </c>
      <c r="E126" t="s">
        <v>749</v>
      </c>
      <c r="F126" s="14">
        <v>0</v>
      </c>
      <c r="G126" s="14">
        <v>0</v>
      </c>
      <c r="H126" s="14">
        <v>0</v>
      </c>
      <c r="I126" t="s">
        <v>750</v>
      </c>
      <c r="J126" s="14">
        <v>15000</v>
      </c>
      <c r="K126" s="14">
        <v>14812.5</v>
      </c>
      <c r="L126" s="14">
        <v>0</v>
      </c>
    </row>
    <row r="127" spans="1:12" ht="15">
      <c r="A127" t="s">
        <v>751</v>
      </c>
      <c r="B127" t="s">
        <v>752</v>
      </c>
      <c r="C127" t="s">
        <v>753</v>
      </c>
      <c r="D127" t="s">
        <v>754</v>
      </c>
      <c r="E127" t="s">
        <v>755</v>
      </c>
      <c r="F127" s="14">
        <v>0</v>
      </c>
      <c r="G127" s="14">
        <v>0</v>
      </c>
      <c r="H127" s="14">
        <v>0</v>
      </c>
      <c r="I127" t="s">
        <v>756</v>
      </c>
      <c r="J127" s="14">
        <v>45000</v>
      </c>
      <c r="K127" s="14">
        <v>0</v>
      </c>
      <c r="L127" s="14">
        <v>0</v>
      </c>
    </row>
    <row r="128" spans="1:12" ht="15">
      <c r="A128" t="s">
        <v>757</v>
      </c>
      <c r="B128" t="s">
        <v>758</v>
      </c>
      <c r="C128" t="s">
        <v>759</v>
      </c>
      <c r="D128" t="s">
        <v>760</v>
      </c>
      <c r="E128" t="s">
        <v>761</v>
      </c>
      <c r="F128" s="14">
        <v>0</v>
      </c>
      <c r="G128" s="14">
        <v>0</v>
      </c>
      <c r="H128" s="14">
        <v>0</v>
      </c>
      <c r="I128" t="s">
        <v>762</v>
      </c>
      <c r="J128" s="14">
        <v>40000</v>
      </c>
      <c r="K128" s="14">
        <v>34477.09</v>
      </c>
      <c r="L128" s="14">
        <v>0</v>
      </c>
    </row>
    <row r="129" spans="1:12" ht="15">
      <c r="A129" t="s">
        <v>763</v>
      </c>
      <c r="B129" t="s">
        <v>764</v>
      </c>
      <c r="C129" t="s">
        <v>765</v>
      </c>
      <c r="D129" t="s">
        <v>766</v>
      </c>
      <c r="E129" t="s">
        <v>767</v>
      </c>
      <c r="F129" s="14">
        <v>25000</v>
      </c>
      <c r="G129" s="14">
        <v>21295.89</v>
      </c>
      <c r="H129" s="14">
        <v>0</v>
      </c>
      <c r="I129" t="s">
        <v>768</v>
      </c>
      <c r="J129" s="14">
        <v>15000</v>
      </c>
      <c r="K129" s="14">
        <v>12154.63</v>
      </c>
      <c r="L129" s="14">
        <v>0</v>
      </c>
    </row>
    <row r="130" spans="1:12" ht="15">
      <c r="A130" t="s">
        <v>769</v>
      </c>
      <c r="B130" t="s">
        <v>770</v>
      </c>
      <c r="C130" t="s">
        <v>771</v>
      </c>
      <c r="D130" t="s">
        <v>772</v>
      </c>
      <c r="E130" t="s">
        <v>773</v>
      </c>
      <c r="F130" s="14">
        <v>0</v>
      </c>
      <c r="G130" s="14">
        <v>0</v>
      </c>
      <c r="H130" s="14">
        <v>0</v>
      </c>
      <c r="I130" t="s">
        <v>774</v>
      </c>
      <c r="J130" s="14">
        <v>10000</v>
      </c>
      <c r="K130" s="14">
        <v>9141.26</v>
      </c>
      <c r="L130" s="14">
        <v>0</v>
      </c>
    </row>
    <row r="131" spans="1:12" ht="15">
      <c r="A131" t="s">
        <v>775</v>
      </c>
      <c r="B131" t="s">
        <v>776</v>
      </c>
      <c r="C131" t="s">
        <v>777</v>
      </c>
      <c r="D131" t="s">
        <v>778</v>
      </c>
      <c r="E131" t="s">
        <v>779</v>
      </c>
      <c r="F131" s="14">
        <v>38000</v>
      </c>
      <c r="G131" s="14">
        <v>30927.32</v>
      </c>
      <c r="H131" s="14">
        <v>0</v>
      </c>
      <c r="I131" t="s">
        <v>780</v>
      </c>
      <c r="J131" s="14">
        <v>30000</v>
      </c>
      <c r="K131" s="14">
        <v>29466.88</v>
      </c>
      <c r="L131" s="14">
        <v>0</v>
      </c>
    </row>
    <row r="132" spans="1:12" ht="15">
      <c r="A132" t="s">
        <v>781</v>
      </c>
      <c r="B132" t="s">
        <v>782</v>
      </c>
      <c r="C132" t="s">
        <v>783</v>
      </c>
      <c r="D132" t="s">
        <v>784</v>
      </c>
      <c r="E132" t="s">
        <v>785</v>
      </c>
      <c r="F132" s="14">
        <v>0</v>
      </c>
      <c r="G132" s="14">
        <v>0</v>
      </c>
      <c r="H132" s="14">
        <v>0</v>
      </c>
      <c r="I132" t="s">
        <v>786</v>
      </c>
      <c r="J132" s="14">
        <v>8000</v>
      </c>
      <c r="K132" s="14">
        <v>1460.44</v>
      </c>
      <c r="L132" s="14">
        <v>0</v>
      </c>
    </row>
    <row r="133" spans="1:12" ht="15">
      <c r="A133" t="s">
        <v>787</v>
      </c>
      <c r="B133" t="s">
        <v>788</v>
      </c>
      <c r="C133" t="s">
        <v>789</v>
      </c>
      <c r="D133" t="s">
        <v>790</v>
      </c>
      <c r="E133" t="s">
        <v>791</v>
      </c>
      <c r="F133" s="14">
        <v>300000</v>
      </c>
      <c r="G133" s="14">
        <v>379950.03</v>
      </c>
      <c r="H133" s="14">
        <v>0</v>
      </c>
      <c r="I133" t="s">
        <v>792</v>
      </c>
      <c r="J133" s="14">
        <v>300000</v>
      </c>
      <c r="K133" s="14">
        <v>253844.97</v>
      </c>
      <c r="L133" s="14">
        <v>0</v>
      </c>
    </row>
    <row r="134" spans="1:12" ht="15">
      <c r="A134" t="s">
        <v>793</v>
      </c>
      <c r="B134" t="s">
        <v>794</v>
      </c>
      <c r="C134" t="s">
        <v>795</v>
      </c>
      <c r="D134" t="s">
        <v>796</v>
      </c>
      <c r="E134" t="s">
        <v>797</v>
      </c>
      <c r="F134" s="14">
        <v>0</v>
      </c>
      <c r="G134" s="14">
        <v>0</v>
      </c>
      <c r="H134" s="14">
        <v>0</v>
      </c>
      <c r="I134" t="s">
        <v>798</v>
      </c>
      <c r="J134" s="14">
        <v>0</v>
      </c>
      <c r="K134" s="14">
        <v>126105.06</v>
      </c>
      <c r="L134" s="14">
        <v>0</v>
      </c>
    </row>
    <row r="135" spans="1:12" ht="15">
      <c r="A135" t="s">
        <v>799</v>
      </c>
      <c r="B135" t="s">
        <v>800</v>
      </c>
      <c r="C135" t="s">
        <v>801</v>
      </c>
      <c r="D135" t="s">
        <v>802</v>
      </c>
      <c r="E135" t="s">
        <v>803</v>
      </c>
      <c r="F135" s="14">
        <v>60000</v>
      </c>
      <c r="G135" s="14">
        <v>53413.38</v>
      </c>
      <c r="H135" s="14">
        <v>0</v>
      </c>
      <c r="I135" t="s">
        <v>804</v>
      </c>
      <c r="J135" s="14">
        <v>60000</v>
      </c>
      <c r="K135" s="14">
        <v>53413.38</v>
      </c>
      <c r="L135" s="14">
        <v>0</v>
      </c>
    </row>
    <row r="136" spans="1:12" ht="15">
      <c r="A136" t="s">
        <v>805</v>
      </c>
      <c r="B136" t="s">
        <v>806</v>
      </c>
      <c r="C136" t="s">
        <v>807</v>
      </c>
      <c r="D136" t="s">
        <v>808</v>
      </c>
      <c r="E136" t="s">
        <v>809</v>
      </c>
      <c r="F136" s="14">
        <v>133000</v>
      </c>
      <c r="G136" s="14">
        <v>0</v>
      </c>
      <c r="H136" s="14">
        <v>0</v>
      </c>
      <c r="I136" t="s">
        <v>810</v>
      </c>
      <c r="J136" s="14">
        <v>125000</v>
      </c>
      <c r="K136" s="14">
        <v>0</v>
      </c>
      <c r="L136" s="14">
        <v>0</v>
      </c>
    </row>
    <row r="137" spans="1:12" ht="15">
      <c r="A137" t="s">
        <v>811</v>
      </c>
      <c r="B137" t="s">
        <v>812</v>
      </c>
      <c r="C137" t="s">
        <v>813</v>
      </c>
      <c r="D137" t="s">
        <v>814</v>
      </c>
      <c r="E137" t="s">
        <v>815</v>
      </c>
      <c r="F137" s="14">
        <v>0</v>
      </c>
      <c r="G137" s="14">
        <v>0</v>
      </c>
      <c r="H137" s="14">
        <v>0</v>
      </c>
      <c r="I137" t="s">
        <v>816</v>
      </c>
      <c r="J137" s="14">
        <v>8000</v>
      </c>
      <c r="K137" s="14">
        <v>0</v>
      </c>
      <c r="L137" s="14">
        <v>0</v>
      </c>
    </row>
    <row r="138" spans="1:12" ht="15">
      <c r="A138" t="s">
        <v>817</v>
      </c>
      <c r="B138" t="s">
        <v>818</v>
      </c>
      <c r="C138" t="s">
        <v>819</v>
      </c>
      <c r="D138" t="s">
        <v>820</v>
      </c>
      <c r="E138" t="s">
        <v>821</v>
      </c>
      <c r="F138" s="14">
        <v>18000</v>
      </c>
      <c r="G138" s="14">
        <v>17525</v>
      </c>
      <c r="H138" s="14">
        <v>0</v>
      </c>
      <c r="I138" t="s">
        <v>822</v>
      </c>
      <c r="J138" s="14">
        <v>18000</v>
      </c>
      <c r="K138" s="14">
        <v>17525</v>
      </c>
      <c r="L138" s="14">
        <v>0</v>
      </c>
    </row>
    <row r="139" spans="1:12" ht="15">
      <c r="A139" t="s">
        <v>823</v>
      </c>
      <c r="B139" t="s">
        <v>824</v>
      </c>
      <c r="C139" t="s">
        <v>825</v>
      </c>
      <c r="D139" t="s">
        <v>826</v>
      </c>
      <c r="E139" t="s">
        <v>827</v>
      </c>
      <c r="F139" s="14">
        <v>48900</v>
      </c>
      <c r="G139" s="14">
        <v>56426.73</v>
      </c>
      <c r="H139" s="14">
        <v>0</v>
      </c>
      <c r="I139" t="s">
        <v>828</v>
      </c>
      <c r="J139" s="14">
        <v>0</v>
      </c>
      <c r="K139" s="14">
        <v>9168.2</v>
      </c>
      <c r="L139" s="14">
        <v>0</v>
      </c>
    </row>
    <row r="140" spans="1:12" ht="15">
      <c r="A140" t="s">
        <v>829</v>
      </c>
      <c r="B140" t="s">
        <v>830</v>
      </c>
      <c r="C140" t="s">
        <v>831</v>
      </c>
      <c r="D140" t="s">
        <v>832</v>
      </c>
      <c r="E140" t="s">
        <v>833</v>
      </c>
      <c r="F140" s="14">
        <v>0</v>
      </c>
      <c r="G140" s="14">
        <v>0</v>
      </c>
      <c r="H140" s="14">
        <v>0</v>
      </c>
      <c r="I140" t="s">
        <v>834</v>
      </c>
      <c r="J140" s="14">
        <v>40000</v>
      </c>
      <c r="K140" s="14">
        <v>46838.53</v>
      </c>
      <c r="L140" s="14">
        <v>0</v>
      </c>
    </row>
    <row r="141" spans="1:12" ht="15">
      <c r="A141" t="s">
        <v>835</v>
      </c>
      <c r="B141" t="s">
        <v>836</v>
      </c>
      <c r="C141" t="s">
        <v>837</v>
      </c>
      <c r="D141" t="s">
        <v>838</v>
      </c>
      <c r="E141" t="s">
        <v>839</v>
      </c>
      <c r="F141" s="14">
        <v>0</v>
      </c>
      <c r="G141" s="14">
        <v>0</v>
      </c>
      <c r="H141" s="14">
        <v>0</v>
      </c>
      <c r="I141" t="s">
        <v>840</v>
      </c>
      <c r="J141" s="14">
        <v>4000</v>
      </c>
      <c r="K141" s="14">
        <v>0</v>
      </c>
      <c r="L141" s="14">
        <v>0</v>
      </c>
    </row>
    <row r="142" spans="1:12" ht="15">
      <c r="A142" t="s">
        <v>841</v>
      </c>
      <c r="B142" t="s">
        <v>842</v>
      </c>
      <c r="C142" t="s">
        <v>843</v>
      </c>
      <c r="D142" t="s">
        <v>844</v>
      </c>
      <c r="E142" t="s">
        <v>845</v>
      </c>
      <c r="F142" s="14">
        <v>0</v>
      </c>
      <c r="G142" s="14">
        <v>0</v>
      </c>
      <c r="H142" s="14">
        <v>0</v>
      </c>
      <c r="I142" t="s">
        <v>846</v>
      </c>
      <c r="J142" s="14">
        <v>4900</v>
      </c>
      <c r="K142" s="14">
        <v>420</v>
      </c>
      <c r="L142" s="14">
        <v>0</v>
      </c>
    </row>
    <row r="143" spans="1:12" ht="15">
      <c r="A143" t="s">
        <v>847</v>
      </c>
      <c r="B143" t="s">
        <v>848</v>
      </c>
      <c r="C143" t="s">
        <v>849</v>
      </c>
      <c r="D143" t="s">
        <v>850</v>
      </c>
      <c r="E143" t="s">
        <v>851</v>
      </c>
      <c r="F143" s="14">
        <v>0</v>
      </c>
      <c r="G143" s="14">
        <v>15000</v>
      </c>
      <c r="H143" s="14">
        <v>0</v>
      </c>
      <c r="I143" t="s">
        <v>852</v>
      </c>
      <c r="J143" s="14">
        <v>0</v>
      </c>
      <c r="K143" s="14">
        <v>2750</v>
      </c>
      <c r="L143" s="14">
        <v>0</v>
      </c>
    </row>
    <row r="144" spans="1:12" ht="15">
      <c r="A144" t="s">
        <v>853</v>
      </c>
      <c r="B144" t="s">
        <v>854</v>
      </c>
      <c r="C144" t="s">
        <v>855</v>
      </c>
      <c r="D144" t="s">
        <v>856</v>
      </c>
      <c r="E144" t="s">
        <v>857</v>
      </c>
      <c r="F144" s="14">
        <v>0</v>
      </c>
      <c r="G144" s="14">
        <v>0</v>
      </c>
      <c r="H144" s="14">
        <v>0</v>
      </c>
      <c r="I144" t="s">
        <v>858</v>
      </c>
      <c r="J144" s="14">
        <v>0</v>
      </c>
      <c r="K144" s="14">
        <v>12250</v>
      </c>
      <c r="L144" s="14">
        <v>0</v>
      </c>
    </row>
    <row r="145" spans="1:12" ht="15">
      <c r="A145" t="s">
        <v>859</v>
      </c>
      <c r="B145" t="s">
        <v>860</v>
      </c>
      <c r="C145" t="s">
        <v>861</v>
      </c>
      <c r="D145" t="s">
        <v>862</v>
      </c>
      <c r="E145" t="s">
        <v>863</v>
      </c>
      <c r="F145" s="14">
        <v>1435000</v>
      </c>
      <c r="G145" s="14">
        <v>1434365.27</v>
      </c>
      <c r="H145" s="14">
        <v>0</v>
      </c>
      <c r="I145" t="s">
        <v>864</v>
      </c>
      <c r="J145" s="14">
        <v>1435000</v>
      </c>
      <c r="K145" s="14">
        <v>1434365.27</v>
      </c>
      <c r="L145" s="14">
        <v>0</v>
      </c>
    </row>
    <row r="146" spans="1:12" ht="15">
      <c r="A146" t="s">
        <v>865</v>
      </c>
      <c r="B146" t="s">
        <v>866</v>
      </c>
      <c r="C146" t="s">
        <v>867</v>
      </c>
      <c r="D146" t="s">
        <v>868</v>
      </c>
      <c r="E146" t="s">
        <v>869</v>
      </c>
      <c r="F146" s="14">
        <v>223000</v>
      </c>
      <c r="G146" s="14">
        <v>222326.61</v>
      </c>
      <c r="H146" s="14">
        <v>0</v>
      </c>
      <c r="I146" t="s">
        <v>870</v>
      </c>
      <c r="J146" s="14">
        <v>223000</v>
      </c>
      <c r="K146" s="14">
        <v>222326.61</v>
      </c>
      <c r="L146" s="14">
        <v>0</v>
      </c>
    </row>
    <row r="147" spans="1:12" ht="15">
      <c r="A147" t="s">
        <v>871</v>
      </c>
      <c r="B147" t="s">
        <v>872</v>
      </c>
      <c r="C147" t="s">
        <v>873</v>
      </c>
      <c r="D147" t="s">
        <v>874</v>
      </c>
      <c r="E147" t="s">
        <v>875</v>
      </c>
      <c r="F147" s="14">
        <v>24000</v>
      </c>
      <c r="G147" s="14">
        <v>24384.16</v>
      </c>
      <c r="H147" s="14">
        <v>0</v>
      </c>
      <c r="I147" t="s">
        <v>876</v>
      </c>
      <c r="J147" s="14">
        <v>24000</v>
      </c>
      <c r="K147" s="14">
        <v>24384.16</v>
      </c>
      <c r="L147" s="14">
        <v>0</v>
      </c>
    </row>
    <row r="148" spans="1:12" ht="15">
      <c r="A148" t="s">
        <v>877</v>
      </c>
      <c r="B148" t="s">
        <v>878</v>
      </c>
      <c r="C148" t="s">
        <v>879</v>
      </c>
      <c r="D148" t="s">
        <v>880</v>
      </c>
      <c r="E148" t="s">
        <v>881</v>
      </c>
      <c r="F148" s="14">
        <v>26000</v>
      </c>
      <c r="G148" s="14">
        <v>32659.91</v>
      </c>
      <c r="H148" s="14">
        <v>0</v>
      </c>
      <c r="I148" t="s">
        <v>882</v>
      </c>
      <c r="J148" s="14">
        <v>26000</v>
      </c>
      <c r="K148" s="14">
        <v>32659.91</v>
      </c>
      <c r="L148" s="14">
        <v>0</v>
      </c>
    </row>
    <row r="149" spans="1:12" ht="15">
      <c r="A149" t="s">
        <v>883</v>
      </c>
      <c r="B149" t="s">
        <v>884</v>
      </c>
      <c r="C149" t="s">
        <v>885</v>
      </c>
      <c r="D149" t="s">
        <v>886</v>
      </c>
      <c r="E149" t="s">
        <v>887</v>
      </c>
      <c r="F149" s="14">
        <v>35000</v>
      </c>
      <c r="G149" s="14">
        <v>46247.5</v>
      </c>
      <c r="H149" s="14">
        <v>0</v>
      </c>
      <c r="I149" t="s">
        <v>888</v>
      </c>
      <c r="J149" s="14">
        <v>35000</v>
      </c>
      <c r="K149" s="14">
        <v>46247.5</v>
      </c>
      <c r="L149" s="14">
        <v>0</v>
      </c>
    </row>
    <row r="150" spans="1:12" ht="15">
      <c r="A150" t="s">
        <v>889</v>
      </c>
      <c r="B150" t="s">
        <v>890</v>
      </c>
      <c r="C150" t="s">
        <v>891</v>
      </c>
      <c r="D150" t="s">
        <v>892</v>
      </c>
      <c r="E150" t="s">
        <v>893</v>
      </c>
      <c r="F150" s="14">
        <v>82000</v>
      </c>
      <c r="G150" s="14">
        <v>82935.65</v>
      </c>
      <c r="H150" s="14">
        <v>0</v>
      </c>
      <c r="I150" t="s">
        <v>894</v>
      </c>
      <c r="J150" s="14">
        <v>82000</v>
      </c>
      <c r="K150" s="14">
        <v>82935.65</v>
      </c>
      <c r="L150" s="14">
        <v>0</v>
      </c>
    </row>
    <row r="151" spans="1:12" ht="15">
      <c r="A151" t="s">
        <v>895</v>
      </c>
      <c r="B151" t="s">
        <v>896</v>
      </c>
      <c r="C151" t="s">
        <v>897</v>
      </c>
      <c r="D151" t="s">
        <v>898</v>
      </c>
      <c r="E151" t="s">
        <v>899</v>
      </c>
      <c r="F151" s="14">
        <v>0</v>
      </c>
      <c r="G151" s="14">
        <v>642.83</v>
      </c>
      <c r="H151" s="14">
        <v>0</v>
      </c>
      <c r="I151" t="s">
        <v>900</v>
      </c>
      <c r="J151" s="14">
        <v>0</v>
      </c>
      <c r="K151" s="14">
        <v>642.83</v>
      </c>
      <c r="L151" s="14">
        <v>0</v>
      </c>
    </row>
    <row r="152" spans="1:12" ht="15">
      <c r="A152" t="s">
        <v>901</v>
      </c>
      <c r="B152" t="s">
        <v>902</v>
      </c>
      <c r="C152" t="s">
        <v>903</v>
      </c>
      <c r="D152" t="s">
        <v>904</v>
      </c>
      <c r="E152" t="s">
        <v>905</v>
      </c>
      <c r="F152" s="14">
        <v>354209</v>
      </c>
      <c r="G152" s="14">
        <v>397719.01</v>
      </c>
      <c r="H152" s="14">
        <v>0</v>
      </c>
      <c r="I152" t="s">
        <v>906</v>
      </c>
      <c r="J152" s="14">
        <v>354209</v>
      </c>
      <c r="K152" s="14">
        <v>397719.01</v>
      </c>
      <c r="L152" s="14">
        <v>0</v>
      </c>
    </row>
    <row r="153" spans="1:12" ht="15">
      <c r="A153" t="s">
        <v>907</v>
      </c>
      <c r="B153" t="s">
        <v>908</v>
      </c>
      <c r="C153" t="s">
        <v>909</v>
      </c>
      <c r="D153" t="s">
        <v>910</v>
      </c>
      <c r="E153" t="s">
        <v>911</v>
      </c>
      <c r="F153" s="14">
        <v>10000</v>
      </c>
      <c r="G153" s="14">
        <v>7325.63</v>
      </c>
      <c r="H153" s="14">
        <v>0</v>
      </c>
      <c r="I153" t="s">
        <v>912</v>
      </c>
      <c r="J153" s="14">
        <v>10000</v>
      </c>
      <c r="K153" s="14">
        <v>7325.63</v>
      </c>
      <c r="L153" s="14">
        <v>0</v>
      </c>
    </row>
    <row r="154" spans="1:12" ht="15">
      <c r="A154" t="s">
        <v>913</v>
      </c>
      <c r="B154" t="s">
        <v>914</v>
      </c>
      <c r="C154" t="s">
        <v>915</v>
      </c>
      <c r="D154" t="s">
        <v>916</v>
      </c>
      <c r="E154" t="s">
        <v>917</v>
      </c>
      <c r="F154" s="14">
        <v>6000</v>
      </c>
      <c r="G154" s="14">
        <v>4407.88</v>
      </c>
      <c r="H154" s="14">
        <v>0</v>
      </c>
      <c r="I154" t="s">
        <v>918</v>
      </c>
      <c r="J154" s="14">
        <v>6000</v>
      </c>
      <c r="K154" s="14">
        <v>4407.88</v>
      </c>
      <c r="L154" s="14">
        <v>0</v>
      </c>
    </row>
    <row r="155" spans="1:12" ht="15">
      <c r="A155" t="s">
        <v>919</v>
      </c>
      <c r="B155" t="s">
        <v>920</v>
      </c>
      <c r="C155" t="s">
        <v>921</v>
      </c>
      <c r="D155" t="s">
        <v>922</v>
      </c>
      <c r="E155" t="s">
        <v>923</v>
      </c>
      <c r="F155" s="14">
        <v>35000</v>
      </c>
      <c r="G155" s="14">
        <v>35198.48</v>
      </c>
      <c r="H155" s="14">
        <v>0</v>
      </c>
      <c r="I155" t="s">
        <v>924</v>
      </c>
      <c r="J155" s="14">
        <v>35000</v>
      </c>
      <c r="K155" s="14">
        <v>35198.48</v>
      </c>
      <c r="L155" s="14">
        <v>0</v>
      </c>
    </row>
    <row r="156" spans="1:12" ht="15">
      <c r="A156" t="s">
        <v>925</v>
      </c>
      <c r="B156" t="s">
        <v>926</v>
      </c>
      <c r="C156" t="s">
        <v>927</v>
      </c>
      <c r="D156" t="s">
        <v>928</v>
      </c>
      <c r="E156" t="s">
        <v>929</v>
      </c>
      <c r="F156" s="14">
        <v>75000</v>
      </c>
      <c r="G156" s="14">
        <v>18755.01</v>
      </c>
      <c r="H156" s="14">
        <v>0</v>
      </c>
      <c r="I156" t="s">
        <v>930</v>
      </c>
      <c r="J156" s="14">
        <v>75000</v>
      </c>
      <c r="K156" s="14">
        <v>18755.01</v>
      </c>
      <c r="L156" s="14">
        <v>0</v>
      </c>
    </row>
    <row r="157" spans="1:12" ht="15">
      <c r="A157" t="s">
        <v>931</v>
      </c>
      <c r="B157" t="s">
        <v>932</v>
      </c>
      <c r="C157" t="s">
        <v>933</v>
      </c>
      <c r="D157" t="s">
        <v>934</v>
      </c>
      <c r="E157" t="s">
        <v>935</v>
      </c>
      <c r="F157" s="14">
        <v>60000</v>
      </c>
      <c r="G157" s="14">
        <v>75251.87</v>
      </c>
      <c r="H157" s="14">
        <v>0</v>
      </c>
      <c r="I157" t="s">
        <v>936</v>
      </c>
      <c r="J157" s="14">
        <v>60000</v>
      </c>
      <c r="K157" s="14">
        <v>75251.87</v>
      </c>
      <c r="L157" s="14">
        <v>0</v>
      </c>
    </row>
    <row r="158" spans="1:12" ht="15">
      <c r="A158" t="s">
        <v>937</v>
      </c>
      <c r="B158" t="s">
        <v>938</v>
      </c>
      <c r="C158" t="s">
        <v>939</v>
      </c>
      <c r="D158" t="s">
        <v>940</v>
      </c>
      <c r="E158" t="s">
        <v>941</v>
      </c>
      <c r="F158" s="14">
        <v>119791</v>
      </c>
      <c r="G158" s="14">
        <v>183354.2</v>
      </c>
      <c r="H158" s="14">
        <v>0</v>
      </c>
      <c r="I158" t="s">
        <v>942</v>
      </c>
      <c r="J158" s="14">
        <v>119791</v>
      </c>
      <c r="K158" s="14">
        <v>183354.2</v>
      </c>
      <c r="L158" s="14">
        <v>0</v>
      </c>
    </row>
    <row r="159" spans="1:12" ht="15">
      <c r="A159" t="s">
        <v>943</v>
      </c>
      <c r="B159" t="s">
        <v>944</v>
      </c>
      <c r="C159" t="s">
        <v>945</v>
      </c>
      <c r="D159" t="s">
        <v>946</v>
      </c>
      <c r="E159" t="s">
        <v>947</v>
      </c>
      <c r="F159" s="14">
        <v>45000</v>
      </c>
      <c r="G159" s="14">
        <v>52119.5</v>
      </c>
      <c r="H159" s="14">
        <v>0</v>
      </c>
      <c r="I159" t="s">
        <v>948</v>
      </c>
      <c r="J159" s="14">
        <v>45000</v>
      </c>
      <c r="K159" s="14">
        <v>52119.5</v>
      </c>
      <c r="L159" s="14">
        <v>0</v>
      </c>
    </row>
    <row r="160" spans="1:12" ht="15">
      <c r="A160" t="s">
        <v>949</v>
      </c>
      <c r="B160" t="s">
        <v>950</v>
      </c>
      <c r="C160" t="s">
        <v>951</v>
      </c>
      <c r="D160" t="s">
        <v>952</v>
      </c>
      <c r="E160" t="s">
        <v>953</v>
      </c>
      <c r="F160" s="14">
        <v>500000</v>
      </c>
      <c r="G160" s="14">
        <v>504470.13</v>
      </c>
      <c r="H160" s="14">
        <v>0</v>
      </c>
      <c r="I160" t="s">
        <v>954</v>
      </c>
      <c r="J160" s="14">
        <v>500000</v>
      </c>
      <c r="K160" s="14">
        <v>504470.13</v>
      </c>
      <c r="L160" s="14">
        <v>0</v>
      </c>
    </row>
    <row r="161" spans="1:12" ht="15">
      <c r="A161" t="s">
        <v>955</v>
      </c>
      <c r="B161" t="s">
        <v>956</v>
      </c>
      <c r="C161" t="s">
        <v>957</v>
      </c>
      <c r="D161" t="s">
        <v>958</v>
      </c>
      <c r="E161" t="s">
        <v>959</v>
      </c>
      <c r="F161" s="14">
        <v>70000</v>
      </c>
      <c r="G161" s="14">
        <v>70204.59</v>
      </c>
      <c r="H161" s="14">
        <v>0</v>
      </c>
      <c r="I161" t="s">
        <v>960</v>
      </c>
      <c r="J161" s="14">
        <v>70000</v>
      </c>
      <c r="K161" s="14">
        <v>70204.59</v>
      </c>
      <c r="L161" s="14">
        <v>0</v>
      </c>
    </row>
    <row r="162" spans="1:12" ht="15">
      <c r="A162" t="s">
        <v>961</v>
      </c>
      <c r="B162" t="s">
        <v>962</v>
      </c>
      <c r="C162" t="s">
        <v>963</v>
      </c>
      <c r="D162" t="s">
        <v>964</v>
      </c>
      <c r="E162" t="s">
        <v>965</v>
      </c>
      <c r="F162" s="14">
        <v>0</v>
      </c>
      <c r="G162" s="14">
        <v>450</v>
      </c>
      <c r="H162" s="14">
        <v>0</v>
      </c>
      <c r="I162" t="s">
        <v>966</v>
      </c>
      <c r="J162" s="14">
        <v>0</v>
      </c>
      <c r="K162" s="14">
        <v>450</v>
      </c>
      <c r="L162" s="14">
        <v>0</v>
      </c>
    </row>
    <row r="163" spans="1:12" ht="15">
      <c r="A163" t="s">
        <v>967</v>
      </c>
      <c r="B163" t="s">
        <v>968</v>
      </c>
      <c r="C163" t="s">
        <v>969</v>
      </c>
      <c r="D163" t="s">
        <v>970</v>
      </c>
      <c r="E163" t="s">
        <v>971</v>
      </c>
      <c r="F163" s="14">
        <v>120000</v>
      </c>
      <c r="G163" s="14">
        <v>92747</v>
      </c>
      <c r="H163" s="14">
        <v>0</v>
      </c>
      <c r="I163" t="s">
        <v>972</v>
      </c>
      <c r="J163" s="14">
        <v>120000</v>
      </c>
      <c r="K163" s="14">
        <v>92747</v>
      </c>
      <c r="L163" s="14">
        <v>0</v>
      </c>
    </row>
    <row r="164" spans="1:12" ht="15">
      <c r="A164" t="s">
        <v>973</v>
      </c>
      <c r="B164" t="s">
        <v>974</v>
      </c>
      <c r="C164" t="s">
        <v>975</v>
      </c>
      <c r="D164" t="s">
        <v>976</v>
      </c>
      <c r="E164" t="s">
        <v>977</v>
      </c>
      <c r="F164" s="14">
        <v>40000</v>
      </c>
      <c r="G164" s="14">
        <v>0</v>
      </c>
      <c r="H164" s="14">
        <v>0</v>
      </c>
      <c r="I164" t="s">
        <v>978</v>
      </c>
      <c r="J164" s="14">
        <v>40000</v>
      </c>
      <c r="K164" s="14">
        <v>0</v>
      </c>
      <c r="L164" s="14">
        <v>0</v>
      </c>
    </row>
    <row r="165" spans="1:12" ht="15">
      <c r="A165" t="s">
        <v>979</v>
      </c>
      <c r="B165" t="s">
        <v>980</v>
      </c>
      <c r="C165" t="s">
        <v>981</v>
      </c>
      <c r="D165" t="s">
        <v>982</v>
      </c>
      <c r="E165" t="s">
        <v>983</v>
      </c>
      <c r="F165" s="14">
        <v>20000</v>
      </c>
      <c r="G165" s="14">
        <v>9756.5</v>
      </c>
      <c r="H165" s="14">
        <v>0</v>
      </c>
      <c r="I165" t="s">
        <v>984</v>
      </c>
      <c r="J165" s="14">
        <v>20000</v>
      </c>
      <c r="K165" s="14">
        <v>9756.5</v>
      </c>
      <c r="L165" s="14">
        <v>0</v>
      </c>
    </row>
    <row r="166" spans="1:12" ht="15">
      <c r="A166" t="s">
        <v>985</v>
      </c>
      <c r="B166" t="s">
        <v>986</v>
      </c>
      <c r="C166" t="s">
        <v>987</v>
      </c>
      <c r="D166" t="s">
        <v>988</v>
      </c>
      <c r="E166" t="s">
        <v>989</v>
      </c>
      <c r="F166" s="14">
        <v>0</v>
      </c>
      <c r="G166" s="14">
        <v>362.5</v>
      </c>
      <c r="H166" s="14">
        <v>0</v>
      </c>
      <c r="I166" t="s">
        <v>990</v>
      </c>
      <c r="J166" s="14">
        <v>0</v>
      </c>
      <c r="K166" s="14">
        <v>362.5</v>
      </c>
      <c r="L166" s="14">
        <v>0</v>
      </c>
    </row>
    <row r="167" spans="1:12" ht="15">
      <c r="A167" t="s">
        <v>991</v>
      </c>
      <c r="B167" t="s">
        <v>992</v>
      </c>
      <c r="C167" t="s">
        <v>993</v>
      </c>
      <c r="D167" t="s">
        <v>994</v>
      </c>
      <c r="E167" t="s">
        <v>995</v>
      </c>
      <c r="F167" s="14">
        <v>100000</v>
      </c>
      <c r="G167" s="14">
        <v>97993.5</v>
      </c>
      <c r="H167" s="14">
        <v>0</v>
      </c>
      <c r="I167" t="s">
        <v>996</v>
      </c>
      <c r="J167" s="14">
        <v>100000</v>
      </c>
      <c r="K167" s="14">
        <v>97993.5</v>
      </c>
      <c r="L167" s="14">
        <v>0</v>
      </c>
    </row>
    <row r="168" spans="1:12" ht="15">
      <c r="A168" t="s">
        <v>997</v>
      </c>
      <c r="B168" t="s">
        <v>998</v>
      </c>
      <c r="C168" t="s">
        <v>999</v>
      </c>
      <c r="D168" t="s">
        <v>1000</v>
      </c>
      <c r="E168" t="s">
        <v>1001</v>
      </c>
      <c r="F168" s="14">
        <v>20000</v>
      </c>
      <c r="G168" s="14">
        <v>16903.27</v>
      </c>
      <c r="H168" s="14">
        <v>0</v>
      </c>
      <c r="I168" t="s">
        <v>1002</v>
      </c>
      <c r="J168" s="14">
        <v>20000</v>
      </c>
      <c r="K168" s="14">
        <v>16903.27</v>
      </c>
      <c r="L168" s="14">
        <v>0</v>
      </c>
    </row>
    <row r="169" spans="1:12" ht="15">
      <c r="A169" t="s">
        <v>1003</v>
      </c>
      <c r="B169" t="s">
        <v>1004</v>
      </c>
      <c r="C169" t="s">
        <v>1005</v>
      </c>
      <c r="D169" t="s">
        <v>1006</v>
      </c>
      <c r="E169" t="s">
        <v>1007</v>
      </c>
      <c r="F169" s="14">
        <v>0</v>
      </c>
      <c r="G169" s="14">
        <v>137.27</v>
      </c>
      <c r="H169" s="14">
        <v>0</v>
      </c>
      <c r="I169" t="s">
        <v>1008</v>
      </c>
      <c r="J169" s="14">
        <v>0</v>
      </c>
      <c r="K169" s="14">
        <v>137.27</v>
      </c>
      <c r="L169" s="14">
        <v>0</v>
      </c>
    </row>
    <row r="170" spans="1:12" ht="15">
      <c r="A170" t="s">
        <v>1009</v>
      </c>
      <c r="B170" t="s">
        <v>1010</v>
      </c>
      <c r="C170" t="s">
        <v>1011</v>
      </c>
      <c r="D170" t="s">
        <v>1012</v>
      </c>
      <c r="E170" t="s">
        <v>1013</v>
      </c>
      <c r="F170" s="14">
        <v>60342</v>
      </c>
      <c r="G170" s="14">
        <v>69747.48</v>
      </c>
      <c r="H170" s="14">
        <v>0</v>
      </c>
      <c r="I170" t="s">
        <v>1014</v>
      </c>
      <c r="J170" s="14">
        <v>0</v>
      </c>
      <c r="K170" s="14">
        <v>0</v>
      </c>
      <c r="L170" s="14">
        <v>0</v>
      </c>
    </row>
    <row r="171" spans="1:12" ht="15">
      <c r="A171" t="s">
        <v>1015</v>
      </c>
      <c r="B171" t="s">
        <v>1016</v>
      </c>
      <c r="C171" t="s">
        <v>1017</v>
      </c>
      <c r="D171" t="s">
        <v>1018</v>
      </c>
      <c r="E171" t="s">
        <v>1019</v>
      </c>
      <c r="F171" s="14">
        <v>0</v>
      </c>
      <c r="G171" s="14">
        <v>0</v>
      </c>
      <c r="H171" s="14">
        <v>0</v>
      </c>
      <c r="I171" t="s">
        <v>1020</v>
      </c>
      <c r="J171" s="14">
        <v>42000</v>
      </c>
      <c r="K171" s="14">
        <v>41748.84</v>
      </c>
      <c r="L171" s="14">
        <v>0</v>
      </c>
    </row>
    <row r="172" spans="1:12" ht="15">
      <c r="A172" t="s">
        <v>1021</v>
      </c>
      <c r="B172" t="s">
        <v>1022</v>
      </c>
      <c r="C172" t="s">
        <v>1023</v>
      </c>
      <c r="D172" t="s">
        <v>1024</v>
      </c>
      <c r="E172" t="s">
        <v>1025</v>
      </c>
      <c r="F172" s="14">
        <v>0</v>
      </c>
      <c r="G172" s="14">
        <v>0</v>
      </c>
      <c r="H172" s="14">
        <v>0</v>
      </c>
      <c r="I172" t="s">
        <v>1026</v>
      </c>
      <c r="J172" s="14">
        <v>18342</v>
      </c>
      <c r="K172" s="14">
        <v>27998.64</v>
      </c>
      <c r="L172" s="14">
        <v>0</v>
      </c>
    </row>
    <row r="173" spans="1:12" ht="15">
      <c r="A173" t="s">
        <v>1027</v>
      </c>
      <c r="B173" t="s">
        <v>1028</v>
      </c>
      <c r="C173" t="s">
        <v>1029</v>
      </c>
      <c r="D173" t="s">
        <v>1030</v>
      </c>
      <c r="E173" t="s">
        <v>1031</v>
      </c>
      <c r="F173" s="14">
        <v>19359</v>
      </c>
      <c r="G173" s="14">
        <v>22492.11</v>
      </c>
      <c r="H173" s="14">
        <v>0</v>
      </c>
      <c r="I173" t="s">
        <v>1032</v>
      </c>
      <c r="J173" s="14">
        <v>4000</v>
      </c>
      <c r="K173" s="14">
        <v>3000</v>
      </c>
      <c r="L173" s="14">
        <v>0</v>
      </c>
    </row>
    <row r="174" spans="1:12" ht="15">
      <c r="A174" t="s">
        <v>1033</v>
      </c>
      <c r="B174" t="s">
        <v>1034</v>
      </c>
      <c r="C174" t="s">
        <v>1035</v>
      </c>
      <c r="D174" t="s">
        <v>1036</v>
      </c>
      <c r="E174" t="s">
        <v>1037</v>
      </c>
      <c r="F174" s="14">
        <v>0</v>
      </c>
      <c r="G174" s="14">
        <v>0</v>
      </c>
      <c r="H174" s="14">
        <v>0</v>
      </c>
      <c r="I174" t="s">
        <v>1038</v>
      </c>
      <c r="J174" s="14">
        <v>15359</v>
      </c>
      <c r="K174" s="14">
        <v>19492.11</v>
      </c>
      <c r="L174" s="14">
        <v>0</v>
      </c>
    </row>
    <row r="175" spans="1:12" ht="15">
      <c r="A175" t="s">
        <v>1039</v>
      </c>
      <c r="B175" t="s">
        <v>1040</v>
      </c>
      <c r="C175" t="s">
        <v>1041</v>
      </c>
      <c r="D175" t="s">
        <v>1042</v>
      </c>
      <c r="E175" t="s">
        <v>1043</v>
      </c>
      <c r="F175" s="14">
        <v>2403</v>
      </c>
      <c r="G175" s="14">
        <v>2116.54</v>
      </c>
      <c r="H175" s="14">
        <v>0</v>
      </c>
      <c r="I175" t="s">
        <v>1044</v>
      </c>
      <c r="J175" s="14">
        <v>403</v>
      </c>
      <c r="K175" s="14">
        <v>403.86</v>
      </c>
      <c r="L175" s="14">
        <v>0</v>
      </c>
    </row>
    <row r="176" spans="1:12" ht="15">
      <c r="A176" t="s">
        <v>1045</v>
      </c>
      <c r="B176" t="s">
        <v>1046</v>
      </c>
      <c r="C176" t="s">
        <v>1047</v>
      </c>
      <c r="D176" t="s">
        <v>1048</v>
      </c>
      <c r="E176" t="s">
        <v>1049</v>
      </c>
      <c r="F176" s="14">
        <v>0</v>
      </c>
      <c r="G176" s="14">
        <v>0</v>
      </c>
      <c r="H176" s="14">
        <v>0</v>
      </c>
      <c r="I176" t="s">
        <v>1050</v>
      </c>
      <c r="J176" s="14">
        <v>2000</v>
      </c>
      <c r="K176" s="14">
        <v>1712.68</v>
      </c>
      <c r="L176" s="14">
        <v>0</v>
      </c>
    </row>
    <row r="177" spans="1:12" ht="15">
      <c r="A177" t="s">
        <v>1051</v>
      </c>
      <c r="B177" t="s">
        <v>1052</v>
      </c>
      <c r="C177" t="s">
        <v>1053</v>
      </c>
      <c r="D177" t="s">
        <v>1054</v>
      </c>
      <c r="E177" t="s">
        <v>1055</v>
      </c>
      <c r="F177" s="14">
        <v>0</v>
      </c>
      <c r="G177" s="14">
        <v>18750</v>
      </c>
      <c r="H177" s="14">
        <v>0</v>
      </c>
      <c r="I177" t="s">
        <v>1056</v>
      </c>
      <c r="J177" s="14">
        <v>0</v>
      </c>
      <c r="K177" s="14">
        <v>18750</v>
      </c>
      <c r="L177" s="14">
        <v>0</v>
      </c>
    </row>
    <row r="178" spans="1:12" ht="15">
      <c r="A178" t="s">
        <v>1057</v>
      </c>
      <c r="B178" t="s">
        <v>1058</v>
      </c>
      <c r="C178" t="s">
        <v>1059</v>
      </c>
      <c r="D178" t="s">
        <v>1060</v>
      </c>
      <c r="E178" t="s">
        <v>1061</v>
      </c>
      <c r="F178" s="14">
        <v>2548</v>
      </c>
      <c r="G178" s="14">
        <v>2548</v>
      </c>
      <c r="H178" s="14">
        <v>0</v>
      </c>
      <c r="I178" t="s">
        <v>1062</v>
      </c>
      <c r="J178" s="14">
        <v>2548</v>
      </c>
      <c r="K178" s="14">
        <v>2548</v>
      </c>
      <c r="L178" s="14">
        <v>0</v>
      </c>
    </row>
    <row r="179" spans="1:12" ht="15">
      <c r="A179" t="s">
        <v>1063</v>
      </c>
      <c r="B179" t="s">
        <v>1064</v>
      </c>
      <c r="C179" t="s">
        <v>1065</v>
      </c>
      <c r="D179" t="s">
        <v>1066</v>
      </c>
      <c r="E179" t="s">
        <v>1067</v>
      </c>
      <c r="F179" s="14">
        <v>20476</v>
      </c>
      <c r="G179" s="14">
        <v>23564.49</v>
      </c>
      <c r="H179" s="14">
        <v>0</v>
      </c>
      <c r="I179" t="s">
        <v>1068</v>
      </c>
      <c r="J179" s="14">
        <v>7476</v>
      </c>
      <c r="K179" s="14">
        <v>10686.68</v>
      </c>
      <c r="L179" s="14">
        <v>0</v>
      </c>
    </row>
    <row r="180" spans="1:12" ht="15">
      <c r="A180" t="s">
        <v>1069</v>
      </c>
      <c r="B180" t="s">
        <v>1070</v>
      </c>
      <c r="C180" t="s">
        <v>1071</v>
      </c>
      <c r="D180" t="s">
        <v>1072</v>
      </c>
      <c r="E180" t="s">
        <v>1073</v>
      </c>
      <c r="F180" s="14">
        <v>0</v>
      </c>
      <c r="G180" s="14">
        <v>0</v>
      </c>
      <c r="H180" s="14">
        <v>0</v>
      </c>
      <c r="I180" t="s">
        <v>1074</v>
      </c>
      <c r="J180" s="14">
        <v>10000</v>
      </c>
      <c r="K180" s="14">
        <v>10000</v>
      </c>
      <c r="L180" s="14">
        <v>0</v>
      </c>
    </row>
    <row r="181" spans="1:12" ht="15">
      <c r="A181" t="s">
        <v>1075</v>
      </c>
      <c r="B181" t="s">
        <v>1076</v>
      </c>
      <c r="C181" t="s">
        <v>1077</v>
      </c>
      <c r="D181" t="s">
        <v>1078</v>
      </c>
      <c r="E181" t="s">
        <v>1079</v>
      </c>
      <c r="F181" s="14">
        <v>0</v>
      </c>
      <c r="G181" s="14">
        <v>0</v>
      </c>
      <c r="H181" s="14">
        <v>0</v>
      </c>
      <c r="I181" t="s">
        <v>1080</v>
      </c>
      <c r="J181" s="14">
        <v>3000</v>
      </c>
      <c r="K181" s="14">
        <v>2877.81</v>
      </c>
      <c r="L181" s="14">
        <v>0</v>
      </c>
    </row>
    <row r="182" spans="1:12" ht="15">
      <c r="A182" t="s">
        <v>1081</v>
      </c>
      <c r="B182" t="s">
        <v>1082</v>
      </c>
      <c r="C182" t="s">
        <v>1083</v>
      </c>
      <c r="D182" t="s">
        <v>1084</v>
      </c>
      <c r="E182" t="s">
        <v>1085</v>
      </c>
      <c r="F182" s="14">
        <v>28412</v>
      </c>
      <c r="G182" s="14">
        <v>9412.5</v>
      </c>
      <c r="H182" s="14">
        <v>0</v>
      </c>
      <c r="I182" t="s">
        <v>1086</v>
      </c>
      <c r="J182" s="14">
        <v>9412</v>
      </c>
      <c r="K182" s="14">
        <v>9412.5</v>
      </c>
      <c r="L182" s="14">
        <v>0</v>
      </c>
    </row>
    <row r="183" spans="1:12" ht="15">
      <c r="A183" t="s">
        <v>1087</v>
      </c>
      <c r="B183" t="s">
        <v>1088</v>
      </c>
      <c r="C183" t="s">
        <v>1089</v>
      </c>
      <c r="D183" t="s">
        <v>1090</v>
      </c>
      <c r="E183" t="s">
        <v>1091</v>
      </c>
      <c r="F183" s="14">
        <v>0</v>
      </c>
      <c r="G183" s="14">
        <v>0</v>
      </c>
      <c r="H183" s="14">
        <v>0</v>
      </c>
      <c r="I183" t="s">
        <v>1092</v>
      </c>
      <c r="J183" s="14">
        <v>19000</v>
      </c>
      <c r="K183" s="14">
        <v>0</v>
      </c>
      <c r="L183" s="14">
        <v>0</v>
      </c>
    </row>
    <row r="184" spans="1:12" ht="15">
      <c r="A184" t="s">
        <v>1093</v>
      </c>
      <c r="B184" t="s">
        <v>1094</v>
      </c>
      <c r="C184" t="s">
        <v>1095</v>
      </c>
      <c r="D184" t="s">
        <v>1096</v>
      </c>
      <c r="E184" t="s">
        <v>1097</v>
      </c>
      <c r="F184" s="14">
        <v>0</v>
      </c>
      <c r="G184" s="14">
        <v>190</v>
      </c>
      <c r="H184" s="14">
        <v>0</v>
      </c>
      <c r="I184" t="s">
        <v>1098</v>
      </c>
      <c r="J184" s="14">
        <v>0</v>
      </c>
      <c r="K184" s="14">
        <v>190</v>
      </c>
      <c r="L184" s="14">
        <v>0</v>
      </c>
    </row>
    <row r="185" spans="1:12" ht="15">
      <c r="A185" t="s">
        <v>1099</v>
      </c>
      <c r="B185" t="s">
        <v>1100</v>
      </c>
      <c r="C185" t="s">
        <v>1101</v>
      </c>
      <c r="D185" t="s">
        <v>1102</v>
      </c>
      <c r="E185" t="s">
        <v>1103</v>
      </c>
      <c r="F185" s="14">
        <v>1500</v>
      </c>
      <c r="G185" s="14">
        <v>255</v>
      </c>
      <c r="H185" s="14">
        <v>0</v>
      </c>
      <c r="I185" t="s">
        <v>1104</v>
      </c>
      <c r="J185" s="14">
        <v>1500</v>
      </c>
      <c r="K185" s="14">
        <v>255</v>
      </c>
      <c r="L185" s="14">
        <v>0</v>
      </c>
    </row>
    <row r="186" spans="1:12" ht="15">
      <c r="A186" t="s">
        <v>1105</v>
      </c>
      <c r="B186" t="s">
        <v>1106</v>
      </c>
      <c r="C186" t="s">
        <v>1107</v>
      </c>
      <c r="D186" t="s">
        <v>1108</v>
      </c>
      <c r="E186" t="s">
        <v>1109</v>
      </c>
      <c r="F186" s="14">
        <v>1000</v>
      </c>
      <c r="G186" s="14">
        <v>347.54</v>
      </c>
      <c r="H186" s="14">
        <v>0</v>
      </c>
      <c r="I186" t="s">
        <v>1110</v>
      </c>
      <c r="J186" s="14">
        <v>1000</v>
      </c>
      <c r="K186" s="14">
        <v>347.54</v>
      </c>
      <c r="L186" s="14">
        <v>0</v>
      </c>
    </row>
    <row r="187" spans="1:12" ht="15">
      <c r="A187" t="s">
        <v>1111</v>
      </c>
      <c r="B187" t="s">
        <v>1112</v>
      </c>
      <c r="C187" t="s">
        <v>1113</v>
      </c>
      <c r="D187" t="s">
        <v>1114</v>
      </c>
      <c r="E187" t="s">
        <v>1115</v>
      </c>
      <c r="F187" s="14">
        <v>130</v>
      </c>
      <c r="G187" s="14">
        <v>130</v>
      </c>
      <c r="H187" s="14">
        <v>0</v>
      </c>
      <c r="I187" t="s">
        <v>1116</v>
      </c>
      <c r="J187" s="14">
        <v>130</v>
      </c>
      <c r="K187" s="14">
        <v>130</v>
      </c>
      <c r="L187" s="14">
        <v>0</v>
      </c>
    </row>
    <row r="188" spans="1:12" ht="15">
      <c r="A188" t="s">
        <v>1117</v>
      </c>
      <c r="B188" t="s">
        <v>1118</v>
      </c>
      <c r="C188" t="s">
        <v>1119</v>
      </c>
      <c r="D188" t="s">
        <v>1120</v>
      </c>
      <c r="E188" t="s">
        <v>1121</v>
      </c>
      <c r="F188" s="14">
        <v>0</v>
      </c>
      <c r="G188" s="14">
        <v>4.15</v>
      </c>
      <c r="H188" s="14">
        <v>0</v>
      </c>
      <c r="I188" t="s">
        <v>1122</v>
      </c>
      <c r="J188" s="14">
        <v>0</v>
      </c>
      <c r="K188" s="14">
        <v>4.15</v>
      </c>
      <c r="L188" s="14">
        <v>0</v>
      </c>
    </row>
    <row r="189" spans="1:12" ht="15">
      <c r="A189" t="s">
        <v>1123</v>
      </c>
      <c r="B189" t="s">
        <v>1124</v>
      </c>
      <c r="C189" t="s">
        <v>1125</v>
      </c>
      <c r="D189" t="s">
        <v>1126</v>
      </c>
      <c r="E189" t="s">
        <v>1127</v>
      </c>
      <c r="F189" s="14">
        <v>62121</v>
      </c>
      <c r="G189" s="14">
        <v>118316.91</v>
      </c>
      <c r="H189" s="14">
        <v>0</v>
      </c>
      <c r="I189" t="s">
        <v>1128</v>
      </c>
      <c r="J189" s="14">
        <v>37121</v>
      </c>
      <c r="K189" s="14">
        <v>79486.16</v>
      </c>
      <c r="L189" s="14">
        <v>0</v>
      </c>
    </row>
    <row r="190" spans="1:12" ht="15">
      <c r="A190" t="s">
        <v>1129</v>
      </c>
      <c r="B190" t="s">
        <v>1130</v>
      </c>
      <c r="C190" t="s">
        <v>1131</v>
      </c>
      <c r="D190" t="s">
        <v>1132</v>
      </c>
      <c r="E190" t="s">
        <v>1133</v>
      </c>
      <c r="F190" s="14">
        <v>0</v>
      </c>
      <c r="G190" s="14">
        <v>0</v>
      </c>
      <c r="H190" s="14">
        <v>0</v>
      </c>
      <c r="I190" t="s">
        <v>1134</v>
      </c>
      <c r="J190" s="14">
        <v>25000</v>
      </c>
      <c r="K190" s="14">
        <v>38830.75</v>
      </c>
      <c r="L190" s="14">
        <v>0</v>
      </c>
    </row>
    <row r="191" spans="1:12" ht="15">
      <c r="A191" t="s">
        <v>1135</v>
      </c>
      <c r="B191" t="s">
        <v>1136</v>
      </c>
      <c r="C191" t="s">
        <v>1137</v>
      </c>
      <c r="D191" t="s">
        <v>1138</v>
      </c>
      <c r="E191" t="s">
        <v>1139</v>
      </c>
      <c r="F191" s="14">
        <v>89209</v>
      </c>
      <c r="G191" s="14">
        <v>0</v>
      </c>
      <c r="H191" s="14">
        <v>0</v>
      </c>
      <c r="I191" t="s">
        <v>1140</v>
      </c>
      <c r="J191" s="14">
        <v>89209</v>
      </c>
      <c r="K191" s="14">
        <v>0</v>
      </c>
      <c r="L191" s="14">
        <v>0</v>
      </c>
    </row>
    <row r="192" spans="1:12" ht="15">
      <c r="A192" t="s">
        <v>1141</v>
      </c>
      <c r="B192" t="s">
        <v>1142</v>
      </c>
      <c r="C192" t="s">
        <v>1143</v>
      </c>
      <c r="D192" t="s">
        <v>1144</v>
      </c>
      <c r="E192" t="s">
        <v>1145</v>
      </c>
      <c r="F192" s="14">
        <v>1500</v>
      </c>
      <c r="G192" s="14">
        <v>0</v>
      </c>
      <c r="H192" s="14">
        <v>0</v>
      </c>
      <c r="I192" t="s">
        <v>1146</v>
      </c>
      <c r="J192" s="14">
        <v>1500</v>
      </c>
      <c r="K192" s="14">
        <v>0</v>
      </c>
      <c r="L192" s="14">
        <v>0</v>
      </c>
    </row>
    <row r="193" spans="1:12" ht="15">
      <c r="A193" t="s">
        <v>1147</v>
      </c>
      <c r="B193" t="s">
        <v>1148</v>
      </c>
      <c r="C193" t="s">
        <v>1149</v>
      </c>
      <c r="D193" t="s">
        <v>1150</v>
      </c>
      <c r="E193" t="s">
        <v>1151</v>
      </c>
      <c r="F193" s="14">
        <v>18000</v>
      </c>
      <c r="G193" s="14">
        <v>17954.89</v>
      </c>
      <c r="H193" s="14">
        <v>0</v>
      </c>
      <c r="I193" t="s">
        <v>1152</v>
      </c>
      <c r="J193" s="14">
        <v>18000</v>
      </c>
      <c r="K193" s="14">
        <v>14912.57</v>
      </c>
      <c r="L193" s="14">
        <v>0</v>
      </c>
    </row>
    <row r="194" spans="1:12" ht="15">
      <c r="A194" t="s">
        <v>1153</v>
      </c>
      <c r="B194" t="s">
        <v>1154</v>
      </c>
      <c r="C194" t="s">
        <v>1155</v>
      </c>
      <c r="D194" t="s">
        <v>1156</v>
      </c>
      <c r="E194" t="s">
        <v>1157</v>
      </c>
      <c r="F194" s="14">
        <v>0</v>
      </c>
      <c r="G194" s="14">
        <v>0</v>
      </c>
      <c r="H194" s="14">
        <v>0</v>
      </c>
      <c r="I194" t="s">
        <v>1158</v>
      </c>
      <c r="J194" s="14">
        <v>0</v>
      </c>
      <c r="K194" s="14">
        <v>3042.32</v>
      </c>
      <c r="L194" s="14">
        <v>0</v>
      </c>
    </row>
    <row r="195" spans="1:12" ht="15">
      <c r="A195" t="s">
        <v>1159</v>
      </c>
      <c r="B195" t="s">
        <v>1160</v>
      </c>
      <c r="C195" t="s">
        <v>1161</v>
      </c>
      <c r="D195" t="s">
        <v>1162</v>
      </c>
      <c r="E195" t="s">
        <v>1163</v>
      </c>
      <c r="F195" s="14">
        <v>2750</v>
      </c>
      <c r="G195" s="14">
        <v>2783</v>
      </c>
      <c r="H195" s="14">
        <v>0</v>
      </c>
      <c r="I195" t="s">
        <v>1164</v>
      </c>
      <c r="J195" s="14">
        <v>2750</v>
      </c>
      <c r="K195" s="14">
        <v>2783</v>
      </c>
      <c r="L195" s="14">
        <v>0</v>
      </c>
    </row>
    <row r="196" spans="1:12" ht="15">
      <c r="A196" t="s">
        <v>1165</v>
      </c>
      <c r="B196" t="s">
        <v>1166</v>
      </c>
      <c r="C196" t="s">
        <v>1167</v>
      </c>
      <c r="D196" t="s">
        <v>1168</v>
      </c>
      <c r="E196" t="s">
        <v>1169</v>
      </c>
      <c r="F196" s="14">
        <v>300</v>
      </c>
      <c r="G196" s="14">
        <v>305.26</v>
      </c>
      <c r="H196" s="14">
        <v>0</v>
      </c>
      <c r="I196" t="s">
        <v>1170</v>
      </c>
      <c r="J196" s="14">
        <v>300</v>
      </c>
      <c r="K196" s="14">
        <v>305.26</v>
      </c>
      <c r="L196" s="14">
        <v>0</v>
      </c>
    </row>
    <row r="197" spans="1:12" ht="15">
      <c r="A197" t="s">
        <v>1171</v>
      </c>
      <c r="B197" t="s">
        <v>1172</v>
      </c>
      <c r="C197" t="s">
        <v>1173</v>
      </c>
      <c r="D197" t="s">
        <v>1174</v>
      </c>
      <c r="E197" t="s">
        <v>1175</v>
      </c>
      <c r="F197" s="14">
        <v>14000</v>
      </c>
      <c r="G197" s="14">
        <v>28312.21</v>
      </c>
      <c r="H197" s="14">
        <v>0</v>
      </c>
      <c r="I197" t="s">
        <v>1176</v>
      </c>
      <c r="J197" s="14">
        <v>3591</v>
      </c>
      <c r="K197" s="14">
        <v>0</v>
      </c>
      <c r="L197" s="14">
        <v>0</v>
      </c>
    </row>
    <row r="198" spans="1:12" ht="15">
      <c r="A198" t="s">
        <v>1177</v>
      </c>
      <c r="B198" t="s">
        <v>1178</v>
      </c>
      <c r="C198" t="s">
        <v>1179</v>
      </c>
      <c r="D198" t="s">
        <v>1180</v>
      </c>
      <c r="E198" t="s">
        <v>1181</v>
      </c>
      <c r="F198" s="14">
        <v>0</v>
      </c>
      <c r="G198" s="14">
        <v>0</v>
      </c>
      <c r="H198" s="14">
        <v>0</v>
      </c>
      <c r="I198" t="s">
        <v>1182</v>
      </c>
      <c r="J198" s="14">
        <v>10409</v>
      </c>
      <c r="K198" s="14">
        <v>28312.21</v>
      </c>
      <c r="L198" s="14">
        <v>0</v>
      </c>
    </row>
    <row r="199" spans="1:12" ht="15">
      <c r="A199" t="s">
        <v>1183</v>
      </c>
      <c r="B199" t="s">
        <v>1184</v>
      </c>
      <c r="C199" t="s">
        <v>1185</v>
      </c>
      <c r="D199" t="s">
        <v>1186</v>
      </c>
      <c r="E199" t="s">
        <v>1187</v>
      </c>
      <c r="F199" s="14">
        <v>21000</v>
      </c>
      <c r="G199" s="14">
        <v>21025</v>
      </c>
      <c r="H199" s="14">
        <v>0</v>
      </c>
      <c r="I199" t="s">
        <v>1188</v>
      </c>
      <c r="J199" s="14">
        <v>21000</v>
      </c>
      <c r="K199" s="14">
        <v>0</v>
      </c>
      <c r="L199" s="14">
        <v>0</v>
      </c>
    </row>
    <row r="200" spans="1:12" ht="15">
      <c r="A200" t="s">
        <v>1189</v>
      </c>
      <c r="B200" t="s">
        <v>1190</v>
      </c>
      <c r="C200" t="s">
        <v>1191</v>
      </c>
      <c r="D200" t="s">
        <v>1192</v>
      </c>
      <c r="E200" t="s">
        <v>1193</v>
      </c>
      <c r="F200" s="14">
        <v>0</v>
      </c>
      <c r="G200" s="14">
        <v>0</v>
      </c>
      <c r="H200" s="14">
        <v>0</v>
      </c>
      <c r="I200" t="s">
        <v>1194</v>
      </c>
      <c r="J200" s="14">
        <v>0</v>
      </c>
      <c r="K200" s="14">
        <v>21025</v>
      </c>
      <c r="L200" s="14">
        <v>0</v>
      </c>
    </row>
    <row r="201" spans="1:12" ht="15">
      <c r="A201" t="s">
        <v>1195</v>
      </c>
      <c r="B201" t="s">
        <v>1196</v>
      </c>
      <c r="C201" t="s">
        <v>1197</v>
      </c>
      <c r="D201" t="s">
        <v>1198</v>
      </c>
      <c r="E201" t="s">
        <v>1199</v>
      </c>
      <c r="F201" s="14">
        <v>0</v>
      </c>
      <c r="G201" s="14">
        <v>10900</v>
      </c>
      <c r="H201" s="14">
        <v>0</v>
      </c>
      <c r="I201" t="s">
        <v>1200</v>
      </c>
      <c r="J201" s="14">
        <v>0</v>
      </c>
      <c r="K201" s="14">
        <v>10900</v>
      </c>
      <c r="L201" s="14">
        <v>0</v>
      </c>
    </row>
    <row r="202" spans="1:12" ht="15">
      <c r="A202" t="s">
        <v>1201</v>
      </c>
      <c r="B202" t="s">
        <v>1202</v>
      </c>
      <c r="C202" t="s">
        <v>1203</v>
      </c>
      <c r="D202" t="s">
        <v>1204</v>
      </c>
      <c r="E202" t="s">
        <v>1205</v>
      </c>
      <c r="F202" s="14">
        <v>0</v>
      </c>
      <c r="G202" s="14">
        <v>785.81</v>
      </c>
      <c r="H202" s="14">
        <v>0</v>
      </c>
      <c r="I202" t="s">
        <v>1206</v>
      </c>
      <c r="J202" s="14">
        <v>0</v>
      </c>
      <c r="K202" s="14">
        <v>785.81</v>
      </c>
      <c r="L202" s="14">
        <v>0</v>
      </c>
    </row>
    <row r="203" spans="1:12" ht="15">
      <c r="A203" t="s">
        <v>1207</v>
      </c>
      <c r="B203" t="s">
        <v>1208</v>
      </c>
      <c r="C203" t="s">
        <v>1209</v>
      </c>
      <c r="D203" t="s">
        <v>1210</v>
      </c>
      <c r="E203" t="s">
        <v>1211</v>
      </c>
      <c r="F203" s="14">
        <v>0</v>
      </c>
      <c r="G203" s="14">
        <v>13999.11</v>
      </c>
      <c r="H203" s="14">
        <v>0</v>
      </c>
      <c r="I203" t="s">
        <v>1212</v>
      </c>
      <c r="J203" s="14">
        <v>0</v>
      </c>
      <c r="K203" s="14">
        <v>13999.11</v>
      </c>
      <c r="L203" s="14">
        <v>0</v>
      </c>
    </row>
    <row r="204" spans="1:12" ht="15">
      <c r="A204" t="s">
        <v>1213</v>
      </c>
      <c r="B204" t="s">
        <v>1214</v>
      </c>
      <c r="C204" t="s">
        <v>1215</v>
      </c>
      <c r="D204" t="s">
        <v>1216</v>
      </c>
      <c r="E204" t="s">
        <v>1217</v>
      </c>
      <c r="F204" s="14">
        <v>0</v>
      </c>
      <c r="G204" s="14">
        <v>127746.4</v>
      </c>
      <c r="H204" s="14">
        <v>0</v>
      </c>
      <c r="I204" t="s">
        <v>1218</v>
      </c>
      <c r="J204" s="14">
        <v>0</v>
      </c>
      <c r="K204" s="14">
        <v>127746.4</v>
      </c>
      <c r="L204" s="14">
        <v>0</v>
      </c>
    </row>
    <row r="205" spans="1:12" ht="15">
      <c r="A205" t="s">
        <v>1219</v>
      </c>
      <c r="B205" t="s">
        <v>1220</v>
      </c>
      <c r="C205" t="s">
        <v>1221</v>
      </c>
      <c r="D205" t="s">
        <v>1222</v>
      </c>
      <c r="E205" t="s">
        <v>1223</v>
      </c>
      <c r="F205" s="14">
        <v>0</v>
      </c>
      <c r="G205" s="14">
        <v>5.39</v>
      </c>
      <c r="H205" s="14">
        <v>0</v>
      </c>
      <c r="I205" t="s">
        <v>1224</v>
      </c>
      <c r="J205" s="14">
        <v>0</v>
      </c>
      <c r="K205" s="14">
        <v>5.39</v>
      </c>
      <c r="L205" s="14">
        <v>0</v>
      </c>
    </row>
    <row r="206" spans="1:12" ht="15">
      <c r="A206" t="s">
        <v>1225</v>
      </c>
      <c r="B206" t="s">
        <v>1226</v>
      </c>
      <c r="C206" t="s">
        <v>1227</v>
      </c>
      <c r="D206" t="s">
        <v>1228</v>
      </c>
      <c r="E206" t="s">
        <v>1229</v>
      </c>
      <c r="F206" s="14">
        <v>0</v>
      </c>
      <c r="G206" s="14">
        <v>50000</v>
      </c>
      <c r="H206" s="14">
        <v>0</v>
      </c>
      <c r="I206" t="s">
        <v>1230</v>
      </c>
      <c r="J206" s="14">
        <v>0</v>
      </c>
      <c r="K206" s="14">
        <v>50000</v>
      </c>
      <c r="L206" s="14">
        <v>0</v>
      </c>
    </row>
    <row r="207" spans="1:12" ht="15">
      <c r="A207" t="s">
        <v>1231</v>
      </c>
      <c r="B207" t="s">
        <v>1232</v>
      </c>
      <c r="C207" t="s">
        <v>1233</v>
      </c>
      <c r="D207" t="s">
        <v>1234</v>
      </c>
      <c r="E207" t="s">
        <v>1235</v>
      </c>
      <c r="F207" s="14">
        <v>6500</v>
      </c>
      <c r="G207" s="14">
        <v>0</v>
      </c>
      <c r="H207" s="14">
        <v>0</v>
      </c>
      <c r="I207" t="s">
        <v>1236</v>
      </c>
      <c r="J207" s="14">
        <v>6500</v>
      </c>
      <c r="K207" s="14">
        <v>0</v>
      </c>
      <c r="L207" s="14">
        <v>0</v>
      </c>
    </row>
    <row r="208" spans="1:12" ht="15">
      <c r="A208" t="s">
        <v>1237</v>
      </c>
      <c r="B208" t="s">
        <v>1238</v>
      </c>
      <c r="C208" t="s">
        <v>1239</v>
      </c>
      <c r="D208" t="s">
        <v>1240</v>
      </c>
      <c r="E208" t="s">
        <v>1241</v>
      </c>
      <c r="F208" s="14">
        <v>1000</v>
      </c>
      <c r="G208" s="14">
        <v>0</v>
      </c>
      <c r="H208" s="14">
        <v>0</v>
      </c>
      <c r="I208" t="s">
        <v>1242</v>
      </c>
      <c r="J208" s="14">
        <v>1000</v>
      </c>
      <c r="K208" s="14">
        <v>0</v>
      </c>
      <c r="L208" s="14">
        <v>0</v>
      </c>
    </row>
    <row r="209" spans="1:12" ht="15">
      <c r="A209" t="s">
        <v>1243</v>
      </c>
      <c r="B209" t="s">
        <v>1244</v>
      </c>
      <c r="C209" t="s">
        <v>1245</v>
      </c>
      <c r="D209" t="s">
        <v>1246</v>
      </c>
      <c r="E209" t="s">
        <v>1247</v>
      </c>
      <c r="F209" s="14">
        <v>17500</v>
      </c>
      <c r="G209" s="14">
        <v>15683.73</v>
      </c>
      <c r="H209" s="14">
        <v>0</v>
      </c>
      <c r="I209" t="s">
        <v>1248</v>
      </c>
      <c r="J209" s="14">
        <v>17500</v>
      </c>
      <c r="K209" s="14">
        <v>15683.73</v>
      </c>
      <c r="L209" s="14">
        <v>0</v>
      </c>
    </row>
    <row r="210" spans="1:12" ht="15">
      <c r="A210" t="s">
        <v>1249</v>
      </c>
      <c r="B210" t="s">
        <v>1250</v>
      </c>
      <c r="C210" t="s">
        <v>1251</v>
      </c>
      <c r="D210" t="s">
        <v>1252</v>
      </c>
      <c r="E210" t="s">
        <v>1253</v>
      </c>
      <c r="F210" s="14">
        <v>11000</v>
      </c>
      <c r="G210" s="14">
        <v>5425.88</v>
      </c>
      <c r="H210" s="14">
        <v>0</v>
      </c>
      <c r="I210" t="s">
        <v>1254</v>
      </c>
      <c r="J210" s="14">
        <v>11000</v>
      </c>
      <c r="K210" s="14">
        <v>5425.88</v>
      </c>
      <c r="L210" s="14">
        <v>0</v>
      </c>
    </row>
    <row r="212" spans="1:3" ht="15">
      <c r="A212" s="6"/>
      <c r="C212" s="6"/>
    </row>
    <row r="223" ht="15">
      <c r="D223" s="1"/>
    </row>
  </sheetData>
  <sheetProtection/>
  <mergeCells count="1">
    <mergeCell ref="A1: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0"/>
  <sheetViews>
    <sheetView zoomScalePageLayoutView="0" workbookViewId="0" topLeftCell="A1">
      <selection activeCell="A2" sqref="A2:C49"/>
    </sheetView>
  </sheetViews>
  <sheetFormatPr defaultColWidth="9.140625" defaultRowHeight="15"/>
  <cols>
    <col min="1" max="1" width="66.421875" style="0" customWidth="1"/>
    <col min="2" max="2" width="24.7109375" style="0" customWidth="1"/>
    <col min="3" max="3" width="23.28125" style="0" customWidth="1"/>
  </cols>
  <sheetData>
    <row r="2" spans="2:3" ht="36" customHeight="1">
      <c r="B2" s="17" t="s">
        <v>1258</v>
      </c>
      <c r="C2" s="17" t="s">
        <v>1259</v>
      </c>
    </row>
    <row r="3" ht="36" customHeight="1" hidden="1">
      <c r="B3" s="15" t="s">
        <v>1258</v>
      </c>
    </row>
    <row r="4" spans="1:3" ht="15" hidden="1">
      <c r="A4" s="15" t="s">
        <v>1255</v>
      </c>
      <c r="B4" t="s">
        <v>1260</v>
      </c>
      <c r="C4" t="s">
        <v>1257</v>
      </c>
    </row>
    <row r="5" spans="1:3" ht="15">
      <c r="A5" s="5" t="s">
        <v>17</v>
      </c>
      <c r="B5" s="11">
        <v>21077500</v>
      </c>
      <c r="C5" s="11">
        <v>21222102.85</v>
      </c>
    </row>
    <row r="6" spans="1:3" ht="15">
      <c r="A6" s="5" t="s">
        <v>35</v>
      </c>
      <c r="B6" s="11">
        <v>521710</v>
      </c>
      <c r="C6" s="11">
        <v>452144.63</v>
      </c>
    </row>
    <row r="7" spans="1:3" ht="15">
      <c r="A7" s="5" t="s">
        <v>41</v>
      </c>
      <c r="B7" s="11">
        <v>3250350</v>
      </c>
      <c r="C7" s="11">
        <v>3290338.92</v>
      </c>
    </row>
    <row r="8" spans="1:3" ht="15">
      <c r="A8" s="5" t="s">
        <v>59</v>
      </c>
      <c r="B8" s="11">
        <v>362000</v>
      </c>
      <c r="C8" s="11">
        <v>360737.54999999993</v>
      </c>
    </row>
    <row r="9" spans="1:3" ht="15">
      <c r="A9" s="5" t="s">
        <v>77</v>
      </c>
      <c r="B9" s="11">
        <v>731542</v>
      </c>
      <c r="C9" s="11">
        <v>679519.42</v>
      </c>
    </row>
    <row r="10" spans="1:3" ht="15">
      <c r="A10" s="5" t="s">
        <v>89</v>
      </c>
      <c r="B10" s="11">
        <v>337353</v>
      </c>
      <c r="C10" s="11">
        <v>335331.64999999997</v>
      </c>
    </row>
    <row r="11" spans="1:3" ht="15">
      <c r="A11" s="5" t="s">
        <v>95</v>
      </c>
      <c r="B11" s="11">
        <v>172259</v>
      </c>
      <c r="C11" s="11">
        <v>183649.08000000002</v>
      </c>
    </row>
    <row r="12" spans="1:3" ht="15">
      <c r="A12" s="5" t="s">
        <v>101</v>
      </c>
      <c r="B12" s="11">
        <v>404903</v>
      </c>
      <c r="C12" s="11">
        <v>364764.45</v>
      </c>
    </row>
    <row r="13" spans="1:3" ht="15">
      <c r="A13" s="5" t="s">
        <v>359</v>
      </c>
      <c r="B13" s="11">
        <v>2000</v>
      </c>
      <c r="C13" s="11">
        <v>1699.08</v>
      </c>
    </row>
    <row r="14" spans="1:3" ht="15">
      <c r="A14" s="5" t="s">
        <v>365</v>
      </c>
      <c r="B14" s="11">
        <v>409509</v>
      </c>
      <c r="C14" s="11">
        <v>412017.21</v>
      </c>
    </row>
    <row r="15" spans="1:3" ht="15">
      <c r="A15" s="5" t="s">
        <v>383</v>
      </c>
      <c r="B15" s="11">
        <v>58000</v>
      </c>
      <c r="C15" s="11">
        <v>73597.91</v>
      </c>
    </row>
    <row r="16" spans="1:3" ht="15">
      <c r="A16" s="5" t="s">
        <v>395</v>
      </c>
      <c r="B16" s="11">
        <v>26000</v>
      </c>
      <c r="C16" s="11">
        <v>23893.04</v>
      </c>
    </row>
    <row r="17" spans="1:3" ht="15">
      <c r="A17" s="5" t="s">
        <v>113</v>
      </c>
      <c r="B17" s="11">
        <v>131000</v>
      </c>
      <c r="C17" s="11">
        <v>96353.81</v>
      </c>
    </row>
    <row r="18" spans="1:3" ht="15">
      <c r="A18" s="5" t="s">
        <v>419</v>
      </c>
      <c r="B18" s="11">
        <v>775000</v>
      </c>
      <c r="C18" s="11">
        <v>712895.01</v>
      </c>
    </row>
    <row r="19" spans="1:3" ht="15">
      <c r="A19" s="5" t="s">
        <v>437</v>
      </c>
      <c r="B19" s="11">
        <v>111000</v>
      </c>
      <c r="C19" s="11">
        <v>108332.65999999999</v>
      </c>
    </row>
    <row r="20" spans="1:3" ht="15">
      <c r="A20" s="5" t="s">
        <v>449</v>
      </c>
      <c r="B20" s="11">
        <v>217041</v>
      </c>
      <c r="C20" s="11">
        <v>221039.05000000002</v>
      </c>
    </row>
    <row r="21" spans="1:3" ht="15">
      <c r="A21" s="5" t="s">
        <v>119</v>
      </c>
      <c r="B21" s="11">
        <v>310000</v>
      </c>
      <c r="C21" s="11">
        <v>393003.06999999995</v>
      </c>
    </row>
    <row r="22" spans="1:3" ht="15">
      <c r="A22" s="5" t="s">
        <v>215</v>
      </c>
      <c r="B22" s="11">
        <v>25770</v>
      </c>
      <c r="C22" s="11">
        <v>17485</v>
      </c>
    </row>
    <row r="23" spans="1:3" ht="15">
      <c r="A23" s="5" t="s">
        <v>125</v>
      </c>
      <c r="B23" s="11">
        <v>3177076</v>
      </c>
      <c r="C23" s="11">
        <v>3156386.1999999997</v>
      </c>
    </row>
    <row r="24" spans="1:3" ht="15">
      <c r="A24" s="5" t="s">
        <v>509</v>
      </c>
      <c r="B24" s="11">
        <v>90000</v>
      </c>
      <c r="C24" s="11">
        <v>110814.65</v>
      </c>
    </row>
    <row r="25" spans="1:3" ht="15">
      <c r="A25" s="5" t="s">
        <v>137</v>
      </c>
      <c r="B25" s="11">
        <v>226412</v>
      </c>
      <c r="C25" s="11">
        <v>189571.05</v>
      </c>
    </row>
    <row r="26" spans="1:3" ht="15">
      <c r="A26" s="5" t="s">
        <v>539</v>
      </c>
      <c r="B26" s="11">
        <v>17848</v>
      </c>
      <c r="C26" s="11">
        <v>44823.56</v>
      </c>
    </row>
    <row r="27" spans="1:3" ht="15">
      <c r="A27" s="5" t="s">
        <v>551</v>
      </c>
      <c r="B27" s="11">
        <v>120500</v>
      </c>
      <c r="C27" s="11">
        <v>112413.27</v>
      </c>
    </row>
    <row r="28" spans="1:3" ht="15">
      <c r="A28" s="5" t="s">
        <v>143</v>
      </c>
      <c r="B28" s="11">
        <v>285000</v>
      </c>
      <c r="C28" s="11">
        <v>292419.58999999997</v>
      </c>
    </row>
    <row r="29" spans="1:3" ht="15">
      <c r="A29" s="5" t="s">
        <v>587</v>
      </c>
      <c r="B29" s="11">
        <v>59000</v>
      </c>
      <c r="C29" s="11">
        <v>83285.65</v>
      </c>
    </row>
    <row r="30" spans="1:3" ht="15">
      <c r="A30" s="5" t="s">
        <v>155</v>
      </c>
      <c r="B30" s="11">
        <v>53540</v>
      </c>
      <c r="C30" s="11">
        <v>47131.4</v>
      </c>
    </row>
    <row r="31" spans="1:3" ht="15">
      <c r="A31" s="5" t="s">
        <v>623</v>
      </c>
      <c r="B31" s="11">
        <v>388000</v>
      </c>
      <c r="C31" s="11">
        <v>254366.93</v>
      </c>
    </row>
    <row r="32" spans="1:3" ht="15">
      <c r="A32" s="5" t="s">
        <v>641</v>
      </c>
      <c r="B32" s="11">
        <v>48680</v>
      </c>
      <c r="C32" s="11">
        <v>41163.600000000006</v>
      </c>
    </row>
    <row r="33" spans="1:3" ht="15">
      <c r="A33" s="5" t="s">
        <v>167</v>
      </c>
      <c r="B33" s="11">
        <v>12000</v>
      </c>
      <c r="C33" s="11">
        <v>16805.65</v>
      </c>
    </row>
    <row r="34" spans="1:3" ht="15">
      <c r="A34" s="5" t="s">
        <v>671</v>
      </c>
      <c r="B34" s="11">
        <v>0</v>
      </c>
      <c r="C34" s="11">
        <v>111</v>
      </c>
    </row>
    <row r="35" spans="1:3" ht="15">
      <c r="A35" s="5" t="s">
        <v>677</v>
      </c>
      <c r="B35" s="11">
        <v>0</v>
      </c>
      <c r="C35" s="11">
        <v>299960</v>
      </c>
    </row>
    <row r="36" spans="1:3" ht="15">
      <c r="A36" s="5" t="s">
        <v>173</v>
      </c>
      <c r="B36" s="11">
        <v>11400</v>
      </c>
      <c r="C36" s="11">
        <v>11400</v>
      </c>
    </row>
    <row r="37" spans="1:3" ht="15">
      <c r="A37" s="5" t="s">
        <v>689</v>
      </c>
      <c r="B37" s="11">
        <v>30000</v>
      </c>
      <c r="C37" s="11">
        <v>35661.25</v>
      </c>
    </row>
    <row r="38" spans="1:3" ht="15">
      <c r="A38" s="5" t="s">
        <v>695</v>
      </c>
      <c r="B38" s="11">
        <v>53000</v>
      </c>
      <c r="C38" s="11">
        <v>105300</v>
      </c>
    </row>
    <row r="39" spans="1:3" ht="15">
      <c r="A39" s="5" t="s">
        <v>719</v>
      </c>
      <c r="B39" s="11">
        <v>0</v>
      </c>
      <c r="C39" s="11">
        <v>125.66</v>
      </c>
    </row>
    <row r="40" spans="1:3" ht="15">
      <c r="A40" s="5" t="s">
        <v>725</v>
      </c>
      <c r="B40" s="11">
        <v>235000</v>
      </c>
      <c r="C40" s="11">
        <v>225911.86</v>
      </c>
    </row>
    <row r="41" spans="1:3" ht="15">
      <c r="A41" s="5" t="s">
        <v>179</v>
      </c>
      <c r="B41" s="11">
        <v>709121</v>
      </c>
      <c r="C41" s="11">
        <v>756681.77</v>
      </c>
    </row>
    <row r="42" spans="1:3" ht="15">
      <c r="A42" s="5" t="s">
        <v>767</v>
      </c>
      <c r="B42" s="11">
        <v>25000</v>
      </c>
      <c r="C42" s="11">
        <v>21295.89</v>
      </c>
    </row>
    <row r="43" spans="1:3" ht="15">
      <c r="A43" s="5" t="s">
        <v>779</v>
      </c>
      <c r="B43" s="11">
        <v>38000</v>
      </c>
      <c r="C43" s="11">
        <v>30927.32</v>
      </c>
    </row>
    <row r="44" spans="1:3" ht="15">
      <c r="A44" s="5" t="s">
        <v>791</v>
      </c>
      <c r="B44" s="11">
        <v>300000</v>
      </c>
      <c r="C44" s="11">
        <v>379950.03</v>
      </c>
    </row>
    <row r="45" spans="1:3" ht="15">
      <c r="A45" s="5" t="s">
        <v>803</v>
      </c>
      <c r="B45" s="11">
        <v>60000</v>
      </c>
      <c r="C45" s="11">
        <v>53413.38</v>
      </c>
    </row>
    <row r="46" spans="1:3" ht="15">
      <c r="A46" s="5" t="s">
        <v>809</v>
      </c>
      <c r="B46" s="11">
        <v>222209</v>
      </c>
      <c r="C46" s="11">
        <v>0</v>
      </c>
    </row>
    <row r="47" spans="1:3" ht="15">
      <c r="A47" s="5" t="s">
        <v>821</v>
      </c>
      <c r="B47" s="11">
        <v>18000</v>
      </c>
      <c r="C47" s="11">
        <v>17525</v>
      </c>
    </row>
    <row r="48" spans="1:3" ht="15">
      <c r="A48" s="5" t="s">
        <v>827</v>
      </c>
      <c r="B48" s="11">
        <v>50400</v>
      </c>
      <c r="C48" s="11">
        <v>56426.729999999996</v>
      </c>
    </row>
    <row r="49" spans="1:3" ht="15">
      <c r="A49" s="5" t="s">
        <v>851</v>
      </c>
      <c r="B49" s="11">
        <v>0</v>
      </c>
      <c r="C49" s="11">
        <v>15000</v>
      </c>
    </row>
    <row r="50" spans="1:3" ht="15">
      <c r="A50" s="5" t="s">
        <v>1256</v>
      </c>
      <c r="B50" s="11">
        <v>35153123</v>
      </c>
      <c r="C50" s="11">
        <v>35307775.82999999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5"/>
  <sheetViews>
    <sheetView tabSelected="1" zoomScalePageLayoutView="0" workbookViewId="0" topLeftCell="A1">
      <selection activeCell="H9" sqref="H9"/>
    </sheetView>
  </sheetViews>
  <sheetFormatPr defaultColWidth="11.421875" defaultRowHeight="15"/>
  <cols>
    <col min="1" max="1" width="57.00390625" style="22" customWidth="1"/>
    <col min="2" max="2" width="16.8515625" style="22" customWidth="1"/>
    <col min="3" max="3" width="15.421875" style="22" bestFit="1" customWidth="1"/>
    <col min="4" max="4" width="15.28125" style="22" customWidth="1"/>
    <col min="5" max="5" width="8.28125" style="22" customWidth="1"/>
    <col min="6" max="6" width="9.8515625" style="22" customWidth="1"/>
    <col min="7" max="16384" width="11.421875" style="22" customWidth="1"/>
  </cols>
  <sheetData>
    <row r="1" ht="15"/>
    <row r="2" ht="15"/>
    <row r="3" spans="1:2" ht="15.75">
      <c r="A3" s="80" t="s">
        <v>1368</v>
      </c>
      <c r="B3" s="42"/>
    </row>
    <row r="4" spans="1:2" ht="15">
      <c r="A4" s="36" t="s">
        <v>1478</v>
      </c>
      <c r="B4" s="23"/>
    </row>
    <row r="5" spans="1:2" ht="15">
      <c r="A5" s="36"/>
      <c r="B5" s="23"/>
    </row>
    <row r="6" spans="1:6" ht="28.5" customHeight="1">
      <c r="A6" s="127" t="s">
        <v>1425</v>
      </c>
      <c r="B6" s="127"/>
      <c r="C6" s="127"/>
      <c r="D6" s="127"/>
      <c r="E6" s="127"/>
      <c r="F6" s="127"/>
    </row>
    <row r="7" spans="1:6" ht="21" customHeight="1">
      <c r="A7" s="127"/>
      <c r="B7" s="127"/>
      <c r="C7" s="127"/>
      <c r="D7" s="127"/>
      <c r="E7" s="127"/>
      <c r="F7" s="127"/>
    </row>
    <row r="8" spans="1:6" ht="33" customHeight="1">
      <c r="A8" s="128" t="s">
        <v>1466</v>
      </c>
      <c r="B8" s="128"/>
      <c r="C8" s="128"/>
      <c r="D8" s="128"/>
      <c r="E8" s="128"/>
      <c r="F8" s="128"/>
    </row>
    <row r="9" spans="1:6" ht="18.75" customHeight="1">
      <c r="A9" s="127" t="s">
        <v>1333</v>
      </c>
      <c r="B9" s="127"/>
      <c r="C9" s="127"/>
      <c r="D9" s="127"/>
      <c r="E9" s="132"/>
      <c r="F9" s="132"/>
    </row>
    <row r="10" spans="1:2" ht="19.5" customHeight="1">
      <c r="A10" s="24"/>
      <c r="B10" s="24"/>
    </row>
    <row r="11" spans="1:6" ht="46.5" customHeight="1">
      <c r="A11" s="65" t="s">
        <v>1389</v>
      </c>
      <c r="B11" s="78" t="s">
        <v>1398</v>
      </c>
      <c r="C11" s="26" t="s">
        <v>1426</v>
      </c>
      <c r="D11" s="26" t="s">
        <v>1427</v>
      </c>
      <c r="E11" s="26" t="s">
        <v>1360</v>
      </c>
      <c r="F11" s="26" t="s">
        <v>1359</v>
      </c>
    </row>
    <row r="12" spans="1:6" ht="14.25" customHeight="1">
      <c r="A12" s="79">
        <v>1</v>
      </c>
      <c r="B12" s="59">
        <v>2</v>
      </c>
      <c r="C12" s="25">
        <v>3</v>
      </c>
      <c r="D12" s="25">
        <v>4</v>
      </c>
      <c r="E12" s="25">
        <v>5</v>
      </c>
      <c r="F12" s="25">
        <v>6</v>
      </c>
    </row>
    <row r="13" spans="1:6" ht="19.5" customHeight="1">
      <c r="A13" s="27" t="s">
        <v>1327</v>
      </c>
      <c r="B13" s="98">
        <f>B14+B15</f>
        <v>23680292.799999997</v>
      </c>
      <c r="C13" s="98">
        <f>C14+C15</f>
        <v>25175987</v>
      </c>
      <c r="D13" s="98">
        <f>D14+D15</f>
        <v>25236518.93</v>
      </c>
      <c r="E13" s="58">
        <f>D13/C13*100</f>
        <v>100.2404351813496</v>
      </c>
      <c r="F13" s="58">
        <f>D13/B13*100</f>
        <v>106.57181962716274</v>
      </c>
    </row>
    <row r="14" spans="1:6" ht="19.5" customHeight="1">
      <c r="A14" s="27" t="s">
        <v>1328</v>
      </c>
      <c r="B14" s="108">
        <f>'Opći dio prihodi'!C34</f>
        <v>23680292.799999997</v>
      </c>
      <c r="C14" s="108">
        <f>'Opći dio prihodi'!D5</f>
        <v>25175987</v>
      </c>
      <c r="D14" s="108">
        <f>'Opći dio prihodi'!E5</f>
        <v>25236518.93</v>
      </c>
      <c r="E14" s="58">
        <f aca="true" t="shared" si="0" ref="E14:E19">D14/C14*100</f>
        <v>100.2404351813496</v>
      </c>
      <c r="F14" s="58">
        <f aca="true" t="shared" si="1" ref="F14:F19">D14/B14*100</f>
        <v>106.57181962716274</v>
      </c>
    </row>
    <row r="15" spans="1:7" ht="19.5" customHeight="1">
      <c r="A15" s="30" t="s">
        <v>1356</v>
      </c>
      <c r="B15" s="108">
        <v>0</v>
      </c>
      <c r="C15" s="108">
        <v>0</v>
      </c>
      <c r="D15" s="108">
        <v>0</v>
      </c>
      <c r="E15" s="58" t="s">
        <v>1424</v>
      </c>
      <c r="F15" s="58" t="s">
        <v>1424</v>
      </c>
      <c r="G15" s="31"/>
    </row>
    <row r="16" spans="1:6" ht="19.5" customHeight="1">
      <c r="A16" s="32" t="s">
        <v>1329</v>
      </c>
      <c r="B16" s="108">
        <f>B17+B18</f>
        <v>23302225.25</v>
      </c>
      <c r="C16" s="108">
        <f>C17+C18</f>
        <v>25651476</v>
      </c>
      <c r="D16" s="108">
        <f>D17+D18</f>
        <v>25299853.94</v>
      </c>
      <c r="E16" s="58">
        <f t="shared" si="0"/>
        <v>98.62923264142773</v>
      </c>
      <c r="F16" s="58">
        <f t="shared" si="1"/>
        <v>108.5726949618256</v>
      </c>
    </row>
    <row r="17" spans="1:6" ht="19.5" customHeight="1">
      <c r="A17" s="33" t="s">
        <v>1330</v>
      </c>
      <c r="B17" s="108">
        <f>'Opći dio rashodi'!C5</f>
        <v>22357999.39</v>
      </c>
      <c r="C17" s="108">
        <f>'Opći dio rashodi'!D5</f>
        <v>25066186</v>
      </c>
      <c r="D17" s="108">
        <v>24744502.37</v>
      </c>
      <c r="E17" s="58">
        <f>D17/C17*100</f>
        <v>98.71666303760772</v>
      </c>
      <c r="F17" s="58">
        <f t="shared" si="1"/>
        <v>110.67404528630323</v>
      </c>
    </row>
    <row r="18" spans="1:6" ht="19.5" customHeight="1">
      <c r="A18" s="30" t="s">
        <v>1406</v>
      </c>
      <c r="B18" s="108">
        <f>'Opći dio rashodi'!C64</f>
        <v>944225.86</v>
      </c>
      <c r="C18" s="108">
        <f>'Opći dio rashodi'!D64</f>
        <v>585290</v>
      </c>
      <c r="D18" s="108">
        <f>'Opći dio rashodi'!E64</f>
        <v>555351.5700000001</v>
      </c>
      <c r="E18" s="58">
        <f>D18/C18*100</f>
        <v>94.88485537084182</v>
      </c>
      <c r="F18" s="58">
        <f t="shared" si="1"/>
        <v>58.815543348918666</v>
      </c>
    </row>
    <row r="19" spans="1:6" ht="19.5" customHeight="1">
      <c r="A19" s="33" t="s">
        <v>1331</v>
      </c>
      <c r="B19" s="108">
        <f>B13-B16</f>
        <v>378067.549999997</v>
      </c>
      <c r="C19" s="108">
        <f>C13-C16</f>
        <v>-475489</v>
      </c>
      <c r="D19" s="108">
        <f>D13-D16</f>
        <v>-63335.01000000164</v>
      </c>
      <c r="E19" s="58">
        <f t="shared" si="0"/>
        <v>13.319973753336384</v>
      </c>
      <c r="F19" s="58">
        <f t="shared" si="1"/>
        <v>-16.752299952747105</v>
      </c>
    </row>
    <row r="20" spans="1:5" ht="19.5" customHeight="1">
      <c r="A20" s="130"/>
      <c r="B20" s="130"/>
      <c r="C20" s="130"/>
      <c r="D20" s="130"/>
      <c r="E20" s="76"/>
    </row>
    <row r="21" spans="1:6" ht="18" customHeight="1">
      <c r="A21" s="79"/>
      <c r="B21" s="59"/>
      <c r="C21" s="25"/>
      <c r="D21" s="25"/>
      <c r="E21" s="25"/>
      <c r="F21" s="25"/>
    </row>
    <row r="22" spans="1:6" ht="18" customHeight="1">
      <c r="A22" s="27" t="s">
        <v>1390</v>
      </c>
      <c r="B22" s="108">
        <v>6056916.48</v>
      </c>
      <c r="C22" s="108">
        <v>5533657</v>
      </c>
      <c r="D22" s="108">
        <v>6434984.03</v>
      </c>
      <c r="E22" s="58">
        <f>D22/C22</f>
        <v>1.16288089955702</v>
      </c>
      <c r="F22" s="58">
        <f>D22/B22</f>
        <v>1.0624191453272276</v>
      </c>
    </row>
    <row r="23" spans="1:6" s="36" customFormat="1" ht="18" customHeight="1">
      <c r="A23" s="27" t="s">
        <v>1391</v>
      </c>
      <c r="B23" s="108">
        <v>6434984.03</v>
      </c>
      <c r="C23" s="108">
        <v>5058168</v>
      </c>
      <c r="D23" s="108">
        <v>6371649.02</v>
      </c>
      <c r="E23" s="58">
        <f>D23/C23</f>
        <v>1.2596752460574658</v>
      </c>
      <c r="F23" s="58">
        <f>D23/B23</f>
        <v>0.990157705177708</v>
      </c>
    </row>
    <row r="24" spans="5:6" s="36" customFormat="1" ht="18" customHeight="1">
      <c r="E24" s="75"/>
      <c r="F24" s="39"/>
    </row>
    <row r="25" spans="1:6" s="36" customFormat="1" ht="15" customHeight="1">
      <c r="A25" s="79"/>
      <c r="B25" s="59"/>
      <c r="C25" s="25"/>
      <c r="D25" s="25"/>
      <c r="E25" s="25"/>
      <c r="F25" s="25"/>
    </row>
    <row r="26" spans="1:6" s="36" customFormat="1" ht="15">
      <c r="A26" s="93" t="s">
        <v>1392</v>
      </c>
      <c r="B26" s="28"/>
      <c r="C26" s="28"/>
      <c r="D26" s="28"/>
      <c r="E26" s="58"/>
      <c r="F26" s="58"/>
    </row>
    <row r="27" spans="1:6" ht="15">
      <c r="A27" s="93" t="s">
        <v>1394</v>
      </c>
      <c r="B27" s="29"/>
      <c r="C27" s="29"/>
      <c r="D27" s="29"/>
      <c r="E27" s="58"/>
      <c r="F27" s="58"/>
    </row>
    <row r="28" spans="1:6" ht="15">
      <c r="A28" s="93" t="s">
        <v>1393</v>
      </c>
      <c r="B28" s="29"/>
      <c r="C28" s="29"/>
      <c r="D28" s="29"/>
      <c r="E28" s="58"/>
      <c r="F28" s="58"/>
    </row>
    <row r="31" spans="1:4" ht="15">
      <c r="A31" s="34"/>
      <c r="B31" s="34"/>
      <c r="C31" s="36"/>
      <c r="D31" s="36" t="s">
        <v>1468</v>
      </c>
    </row>
    <row r="32" spans="1:4" ht="15">
      <c r="A32" s="37"/>
      <c r="B32" s="131" t="s">
        <v>1363</v>
      </c>
      <c r="C32" s="131"/>
      <c r="D32" s="35"/>
    </row>
    <row r="33" spans="1:4" ht="15">
      <c r="A33" s="38" t="s">
        <v>1477</v>
      </c>
      <c r="B33" s="38"/>
      <c r="C33" s="36"/>
      <c r="D33" s="36"/>
    </row>
    <row r="34" spans="1:4" ht="15">
      <c r="A34" s="40"/>
      <c r="B34" s="40"/>
      <c r="C34" s="129" t="s">
        <v>1467</v>
      </c>
      <c r="D34" s="129"/>
    </row>
    <row r="35" spans="1:4" ht="15">
      <c r="A35" s="39"/>
      <c r="B35" s="39"/>
      <c r="C35" s="41"/>
      <c r="D35" s="35"/>
    </row>
  </sheetData>
  <sheetProtection/>
  <protectedRanges>
    <protectedRange sqref="A26:A28" name="Raspon1_2"/>
  </protectedRanges>
  <mergeCells count="7">
    <mergeCell ref="A7:F7"/>
    <mergeCell ref="A8:F8"/>
    <mergeCell ref="A6:F6"/>
    <mergeCell ref="C34:D34"/>
    <mergeCell ref="A20:D20"/>
    <mergeCell ref="B32:C32"/>
    <mergeCell ref="A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3"/>
  <sheetViews>
    <sheetView view="pageBreakPreview" zoomScale="60" zoomScalePageLayoutView="0" workbookViewId="0" topLeftCell="A2">
      <selection activeCell="F15" sqref="F15:F21"/>
    </sheetView>
  </sheetViews>
  <sheetFormatPr defaultColWidth="9.140625" defaultRowHeight="15"/>
  <cols>
    <col min="1" max="1" width="16.7109375" style="0" customWidth="1"/>
    <col min="2" max="2" width="18.00390625" style="0" customWidth="1"/>
    <col min="3" max="3" width="17.57421875" style="0" customWidth="1"/>
    <col min="4" max="4" width="19.421875" style="0" customWidth="1"/>
    <col min="5" max="5" width="14.7109375" style="0" customWidth="1"/>
    <col min="6" max="6" width="14.421875" style="0" customWidth="1"/>
  </cols>
  <sheetData>
    <row r="4" spans="1:6" ht="30">
      <c r="A4" s="65" t="s">
        <v>1469</v>
      </c>
      <c r="B4" s="78" t="s">
        <v>1398</v>
      </c>
      <c r="C4" s="26" t="s">
        <v>1426</v>
      </c>
      <c r="D4" s="26" t="s">
        <v>1427</v>
      </c>
      <c r="E4" s="26" t="s">
        <v>1360</v>
      </c>
      <c r="F4" s="26" t="s">
        <v>1359</v>
      </c>
    </row>
    <row r="5" spans="1:6" ht="15">
      <c r="A5" s="79">
        <v>1</v>
      </c>
      <c r="B5" s="59">
        <v>2</v>
      </c>
      <c r="C5" s="25">
        <v>3</v>
      </c>
      <c r="D5" s="25">
        <v>4</v>
      </c>
      <c r="E5" s="25">
        <v>5</v>
      </c>
      <c r="F5" s="25">
        <v>6</v>
      </c>
    </row>
    <row r="6" spans="1:6" ht="15">
      <c r="A6" s="27" t="s">
        <v>1470</v>
      </c>
      <c r="B6" s="98">
        <v>478753.72</v>
      </c>
      <c r="C6" s="98">
        <v>378934</v>
      </c>
      <c r="D6" s="98">
        <v>403142.48</v>
      </c>
      <c r="E6" s="58">
        <f>D6/C6*100</f>
        <v>106.38857426359208</v>
      </c>
      <c r="F6" s="58">
        <f>D6/B6*100</f>
        <v>84.20665222193992</v>
      </c>
    </row>
    <row r="7" spans="1:6" ht="15">
      <c r="A7" s="27" t="s">
        <v>1471</v>
      </c>
      <c r="B7" s="108">
        <v>2859454.05</v>
      </c>
      <c r="C7" s="108">
        <v>3112300</v>
      </c>
      <c r="D7" s="108">
        <v>3134083.97</v>
      </c>
      <c r="E7" s="58">
        <f aca="true" t="shared" si="0" ref="E7:E12">D7/C7*100</f>
        <v>100.69993156186743</v>
      </c>
      <c r="F7" s="58">
        <f aca="true" t="shared" si="1" ref="F7:F12">D7/B7*100</f>
        <v>109.6042781313447</v>
      </c>
    </row>
    <row r="8" spans="1:6" ht="15">
      <c r="A8" s="30" t="s">
        <v>1472</v>
      </c>
      <c r="B8" s="108">
        <v>2067183.82</v>
      </c>
      <c r="C8" s="108">
        <v>915665</v>
      </c>
      <c r="D8" s="108">
        <v>1800057.65</v>
      </c>
      <c r="E8" s="58">
        <f t="shared" si="0"/>
        <v>196.58473896020922</v>
      </c>
      <c r="F8" s="58">
        <f t="shared" si="1"/>
        <v>87.07777376082596</v>
      </c>
    </row>
    <row r="9" spans="1:6" ht="15">
      <c r="A9" s="32" t="s">
        <v>1473</v>
      </c>
      <c r="B9" s="108">
        <v>518970.71</v>
      </c>
      <c r="C9" s="108">
        <v>449637</v>
      </c>
      <c r="D9" s="108">
        <v>450136.84</v>
      </c>
      <c r="E9" s="58">
        <f t="shared" si="0"/>
        <v>100.11116522884016</v>
      </c>
      <c r="F9" s="58">
        <f t="shared" si="1"/>
        <v>86.73646341235712</v>
      </c>
    </row>
    <row r="10" spans="1:6" ht="15">
      <c r="A10" s="33" t="s">
        <v>1474</v>
      </c>
      <c r="B10" s="108">
        <v>132554.18</v>
      </c>
      <c r="C10" s="108">
        <v>677121</v>
      </c>
      <c r="D10" s="108">
        <v>647563.09</v>
      </c>
      <c r="E10" s="58">
        <f t="shared" si="0"/>
        <v>95.63476690281352</v>
      </c>
      <c r="F10" s="58">
        <f t="shared" si="1"/>
        <v>488.52709888137815</v>
      </c>
    </row>
    <row r="11" spans="1:6" ht="15">
      <c r="A11" s="30" t="s">
        <v>1475</v>
      </c>
      <c r="B11" s="108">
        <v>0</v>
      </c>
      <c r="C11" s="108">
        <v>0</v>
      </c>
      <c r="D11" s="108"/>
      <c r="E11" s="58" t="e">
        <f t="shared" si="0"/>
        <v>#DIV/0!</v>
      </c>
      <c r="F11" s="58" t="e">
        <f t="shared" si="1"/>
        <v>#DIV/0!</v>
      </c>
    </row>
    <row r="12" spans="1:6" ht="15">
      <c r="A12" s="33" t="s">
        <v>1286</v>
      </c>
      <c r="B12" s="108">
        <f>SUM(B6:B11)</f>
        <v>6056916.4799999995</v>
      </c>
      <c r="C12" s="108">
        <f>SUM(C6:C11)</f>
        <v>5533657</v>
      </c>
      <c r="D12" s="108">
        <f>SUM(D6:D11)</f>
        <v>6434984.029999999</v>
      </c>
      <c r="E12" s="58">
        <f t="shared" si="0"/>
        <v>116.28808995570196</v>
      </c>
      <c r="F12" s="58">
        <f t="shared" si="1"/>
        <v>106.24191453272276</v>
      </c>
    </row>
    <row r="13" spans="1:6" ht="15">
      <c r="A13" s="130"/>
      <c r="B13" s="130"/>
      <c r="C13" s="130"/>
      <c r="D13" s="130"/>
      <c r="E13" s="76"/>
      <c r="F13" s="22"/>
    </row>
    <row r="14" spans="1:6" ht="30">
      <c r="A14" s="79" t="s">
        <v>1476</v>
      </c>
      <c r="B14" s="59"/>
      <c r="C14" s="25"/>
      <c r="D14" s="25"/>
      <c r="E14" s="25"/>
      <c r="F14" s="25"/>
    </row>
    <row r="15" spans="1:6" ht="15">
      <c r="A15" s="27" t="s">
        <v>1470</v>
      </c>
      <c r="B15" s="108">
        <v>403142.48</v>
      </c>
      <c r="C15" s="108">
        <v>0</v>
      </c>
      <c r="D15" s="108">
        <v>64878.54</v>
      </c>
      <c r="E15" s="58" t="e">
        <f>D15/C15</f>
        <v>#DIV/0!</v>
      </c>
      <c r="F15" s="58">
        <f>D15/B15</f>
        <v>0.16093203574081302</v>
      </c>
    </row>
    <row r="16" spans="1:6" s="117" customFormat="1" ht="15">
      <c r="A16" s="27" t="s">
        <v>1471</v>
      </c>
      <c r="B16" s="108">
        <v>3134083.97</v>
      </c>
      <c r="C16" s="108">
        <v>3014420</v>
      </c>
      <c r="D16" s="108">
        <v>3305607.46</v>
      </c>
      <c r="E16" s="58">
        <f aca="true" t="shared" si="2" ref="E16:E21">D16/C16</f>
        <v>1.0965981714558688</v>
      </c>
      <c r="F16" s="58">
        <f aca="true" t="shared" si="3" ref="F16:F21">D16/B16</f>
        <v>1.054728428351586</v>
      </c>
    </row>
    <row r="17" spans="1:6" s="117" customFormat="1" ht="15">
      <c r="A17" s="27" t="s">
        <v>1472</v>
      </c>
      <c r="B17" s="108">
        <v>2109424.59</v>
      </c>
      <c r="C17" s="108">
        <v>1057380</v>
      </c>
      <c r="D17" s="108">
        <v>2124009.89</v>
      </c>
      <c r="E17" s="58">
        <f t="shared" si="2"/>
        <v>2.0087479335716583</v>
      </c>
      <c r="F17" s="58">
        <f t="shared" si="3"/>
        <v>1.0069143500408329</v>
      </c>
    </row>
    <row r="18" spans="1:6" s="117" customFormat="1" ht="15">
      <c r="A18" s="27" t="s">
        <v>1473</v>
      </c>
      <c r="B18" s="108">
        <v>450136.84</v>
      </c>
      <c r="C18" s="108">
        <v>251716</v>
      </c>
      <c r="D18" s="108">
        <v>221766.23</v>
      </c>
      <c r="E18" s="58">
        <f t="shared" si="2"/>
        <v>0.8810176150900221</v>
      </c>
      <c r="F18" s="58">
        <f t="shared" si="3"/>
        <v>0.492664030786727</v>
      </c>
    </row>
    <row r="19" spans="1:6" s="117" customFormat="1" ht="15">
      <c r="A19" s="27" t="s">
        <v>1474</v>
      </c>
      <c r="B19" s="108">
        <v>338196.15</v>
      </c>
      <c r="C19" s="108">
        <v>631492</v>
      </c>
      <c r="D19" s="108">
        <f>439468.92+114654.67</f>
        <v>554123.59</v>
      </c>
      <c r="E19" s="58">
        <f t="shared" si="2"/>
        <v>0.8774831510137895</v>
      </c>
      <c r="F19" s="58">
        <f t="shared" si="3"/>
        <v>1.638468060621033</v>
      </c>
    </row>
    <row r="20" spans="1:6" s="117" customFormat="1" ht="15">
      <c r="A20" s="27" t="s">
        <v>1475</v>
      </c>
      <c r="B20" s="108"/>
      <c r="C20" s="108">
        <v>103160</v>
      </c>
      <c r="D20" s="108">
        <v>101263.31</v>
      </c>
      <c r="E20" s="58">
        <f t="shared" si="2"/>
        <v>0.981614094610314</v>
      </c>
      <c r="F20" s="58" t="e">
        <f t="shared" si="3"/>
        <v>#DIV/0!</v>
      </c>
    </row>
    <row r="21" spans="1:6" ht="15">
      <c r="A21" s="27" t="s">
        <v>1286</v>
      </c>
      <c r="B21" s="108">
        <f>SUM(B15:B20)</f>
        <v>6434984.03</v>
      </c>
      <c r="C21" s="108">
        <f>SUM(C15:C20)</f>
        <v>5058168</v>
      </c>
      <c r="D21" s="108">
        <f>SUM(D15:D20)</f>
        <v>6371649.0200000005</v>
      </c>
      <c r="E21" s="58">
        <f t="shared" si="2"/>
        <v>1.259675246057466</v>
      </c>
      <c r="F21" s="58">
        <f t="shared" si="3"/>
        <v>0.9901577051777082</v>
      </c>
    </row>
    <row r="22" spans="1:6" ht="15">
      <c r="A22" s="36"/>
      <c r="B22" s="36"/>
      <c r="C22" s="36"/>
      <c r="D22" s="36"/>
      <c r="E22" s="75"/>
      <c r="F22" s="39"/>
    </row>
    <row r="23" spans="1:6" ht="15">
      <c r="A23" s="79"/>
      <c r="B23" s="59"/>
      <c r="C23" s="25"/>
      <c r="D23" s="25"/>
      <c r="E23" s="25"/>
      <c r="F23" s="25"/>
    </row>
  </sheetData>
  <sheetProtection/>
  <mergeCells count="1">
    <mergeCell ref="A13:D13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6.57421875" style="0" customWidth="1"/>
    <col min="2" max="2" width="49.00390625" style="0" customWidth="1"/>
    <col min="3" max="3" width="17.140625" style="0" customWidth="1"/>
    <col min="4" max="4" width="19.28125" style="0" customWidth="1"/>
    <col min="5" max="5" width="16.421875" style="0" customWidth="1"/>
    <col min="6" max="6" width="9.7109375" style="0" customWidth="1"/>
  </cols>
  <sheetData>
    <row r="2" spans="1:6" ht="15">
      <c r="A2" s="126" t="s">
        <v>1401</v>
      </c>
      <c r="B2" s="126"/>
      <c r="C2" s="126"/>
      <c r="D2" s="126"/>
      <c r="E2" s="126"/>
      <c r="F2" s="74"/>
    </row>
    <row r="3" spans="1:7" ht="30">
      <c r="A3" s="66" t="s">
        <v>1301</v>
      </c>
      <c r="B3" s="66" t="s">
        <v>1334</v>
      </c>
      <c r="C3" s="26" t="s">
        <v>1398</v>
      </c>
      <c r="D3" s="26" t="s">
        <v>1426</v>
      </c>
      <c r="E3" s="26" t="s">
        <v>1427</v>
      </c>
      <c r="F3" s="26" t="s">
        <v>1387</v>
      </c>
      <c r="G3" s="26" t="s">
        <v>1388</v>
      </c>
    </row>
    <row r="4" spans="1:7" ht="15">
      <c r="A4" s="66">
        <v>1</v>
      </c>
      <c r="B4" s="66">
        <v>2</v>
      </c>
      <c r="C4" s="26">
        <v>3</v>
      </c>
      <c r="D4" s="25">
        <v>4</v>
      </c>
      <c r="E4" s="26">
        <v>5</v>
      </c>
      <c r="F4" s="26">
        <v>6</v>
      </c>
      <c r="G4" s="26">
        <v>7</v>
      </c>
    </row>
    <row r="5" spans="1:7" ht="19.5" customHeight="1">
      <c r="A5" s="27">
        <v>6</v>
      </c>
      <c r="B5" s="27" t="s">
        <v>1332</v>
      </c>
      <c r="C5" s="98">
        <f>C6+C14+C18+C22+C28+C31</f>
        <v>23680292.799999997</v>
      </c>
      <c r="D5" s="98">
        <f>D6+D14+D18+D22+D28+D31</f>
        <v>25175987</v>
      </c>
      <c r="E5" s="98">
        <f>E6+E14+E18+E22+E28+E31</f>
        <v>25236518.93</v>
      </c>
      <c r="F5" s="58">
        <f>E5/D5*100</f>
        <v>100.2404351813496</v>
      </c>
      <c r="G5" s="58">
        <f>E5/C5*100</f>
        <v>106.57181962716274</v>
      </c>
    </row>
    <row r="6" spans="1:7" ht="30">
      <c r="A6" s="27">
        <v>63</v>
      </c>
      <c r="B6" s="27" t="s">
        <v>1336</v>
      </c>
      <c r="C6" s="98">
        <f>C7+C9+C11</f>
        <v>927118.82</v>
      </c>
      <c r="D6" s="98">
        <f>D7+D9+D11</f>
        <v>2643316</v>
      </c>
      <c r="E6" s="98">
        <f>E7+E9+E11</f>
        <v>2642185.42</v>
      </c>
      <c r="F6" s="58">
        <f aca="true" t="shared" si="0" ref="F6:F30">E6/D6*100</f>
        <v>99.95722872331572</v>
      </c>
      <c r="G6" s="58">
        <f>E6/C6*100</f>
        <v>284.98886690704865</v>
      </c>
    </row>
    <row r="7" spans="1:7" ht="30">
      <c r="A7" s="27">
        <v>632</v>
      </c>
      <c r="B7" s="27" t="s">
        <v>1337</v>
      </c>
      <c r="C7" s="98">
        <f>SUM(C8:C8)</f>
        <v>370380.48</v>
      </c>
      <c r="D7" s="98">
        <f>SUM(D8:D8)</f>
        <v>196010</v>
      </c>
      <c r="E7" s="98">
        <f>SUM(E8:E8)</f>
        <v>195970.82</v>
      </c>
      <c r="F7" s="58">
        <f t="shared" si="0"/>
        <v>99.98001122391716</v>
      </c>
      <c r="G7" s="58">
        <f aca="true" t="shared" si="1" ref="G7:G30">E7/C7*100</f>
        <v>52.910677150156516</v>
      </c>
    </row>
    <row r="8" spans="1:7" ht="15">
      <c r="A8" s="46">
        <v>6323</v>
      </c>
      <c r="B8" s="46" t="s">
        <v>1306</v>
      </c>
      <c r="C8" s="99">
        <v>370380.48</v>
      </c>
      <c r="D8" s="99">
        <v>196010</v>
      </c>
      <c r="E8" s="99">
        <v>195970.82</v>
      </c>
      <c r="F8" s="58">
        <f t="shared" si="0"/>
        <v>99.98001122391716</v>
      </c>
      <c r="G8" s="58">
        <f t="shared" si="1"/>
        <v>52.910677150156516</v>
      </c>
    </row>
    <row r="9" spans="1:7" ht="30">
      <c r="A9" s="27">
        <v>636</v>
      </c>
      <c r="B9" s="27" t="s">
        <v>1408</v>
      </c>
      <c r="C9" s="98">
        <f>C10</f>
        <v>0</v>
      </c>
      <c r="D9" s="98">
        <f>D10</f>
        <v>1200</v>
      </c>
      <c r="E9" s="98">
        <f>E10</f>
        <v>1200</v>
      </c>
      <c r="F9" s="58" t="s">
        <v>1428</v>
      </c>
      <c r="G9" s="58" t="e">
        <f>E9/C9</f>
        <v>#DIV/0!</v>
      </c>
    </row>
    <row r="10" spans="1:7" ht="30">
      <c r="A10" s="46">
        <v>6361</v>
      </c>
      <c r="B10" s="46" t="s">
        <v>1409</v>
      </c>
      <c r="C10" s="99">
        <v>0</v>
      </c>
      <c r="D10" s="99">
        <v>1200</v>
      </c>
      <c r="E10" s="99">
        <v>1200</v>
      </c>
      <c r="F10" s="58" t="s">
        <v>1428</v>
      </c>
      <c r="G10" s="58" t="e">
        <f>E10/C10</f>
        <v>#DIV/0!</v>
      </c>
    </row>
    <row r="11" spans="1:7" ht="30">
      <c r="A11" s="27">
        <v>639</v>
      </c>
      <c r="B11" s="27" t="s">
        <v>1338</v>
      </c>
      <c r="C11" s="98">
        <f>SUM(C12:C13)</f>
        <v>556738.34</v>
      </c>
      <c r="D11" s="98">
        <f>SUM(D12:D13)</f>
        <v>2446106</v>
      </c>
      <c r="E11" s="98">
        <f>SUM(E12:E13)</f>
        <v>2445014.6</v>
      </c>
      <c r="F11" s="58">
        <f t="shared" si="0"/>
        <v>99.95538214615394</v>
      </c>
      <c r="G11" s="58">
        <f t="shared" si="1"/>
        <v>439.1676348354238</v>
      </c>
    </row>
    <row r="12" spans="1:7" ht="30">
      <c r="A12" s="46">
        <v>6391</v>
      </c>
      <c r="B12" s="46" t="s">
        <v>1307</v>
      </c>
      <c r="C12" s="99">
        <v>121274.79</v>
      </c>
      <c r="D12" s="99">
        <v>1947859</v>
      </c>
      <c r="E12" s="99">
        <v>1946766.37</v>
      </c>
      <c r="F12" s="58">
        <f t="shared" si="0"/>
        <v>99.9439061040866</v>
      </c>
      <c r="G12" s="58">
        <f>E12/C12*100</f>
        <v>1605.252311712929</v>
      </c>
    </row>
    <row r="13" spans="1:7" ht="30">
      <c r="A13" s="46">
        <v>6393</v>
      </c>
      <c r="B13" s="46" t="s">
        <v>1335</v>
      </c>
      <c r="C13" s="99">
        <v>435463.55</v>
      </c>
      <c r="D13" s="99">
        <v>498247</v>
      </c>
      <c r="E13" s="99">
        <v>498248.23</v>
      </c>
      <c r="F13" s="58">
        <f t="shared" si="0"/>
        <v>100.00024686551048</v>
      </c>
      <c r="G13" s="58">
        <f t="shared" si="1"/>
        <v>114.41789559654303</v>
      </c>
    </row>
    <row r="14" spans="1:7" ht="15">
      <c r="A14" s="27">
        <v>64</v>
      </c>
      <c r="B14" s="27" t="s">
        <v>1344</v>
      </c>
      <c r="C14" s="98">
        <f>C15</f>
        <v>458.42999999999995</v>
      </c>
      <c r="D14" s="98">
        <f>D15</f>
        <v>305</v>
      </c>
      <c r="E14" s="98">
        <f>E15</f>
        <v>388.24</v>
      </c>
      <c r="F14" s="58">
        <f>E14/D14*100</f>
        <v>127.29180327868852</v>
      </c>
      <c r="G14" s="58">
        <f>E14/C14*100</f>
        <v>84.68904740091182</v>
      </c>
    </row>
    <row r="15" spans="1:7" ht="15">
      <c r="A15" s="27">
        <v>641</v>
      </c>
      <c r="B15" s="27" t="s">
        <v>1339</v>
      </c>
      <c r="C15" s="98">
        <f>C17+C16</f>
        <v>458.42999999999995</v>
      </c>
      <c r="D15" s="98">
        <f>SUM(D16:D17)</f>
        <v>305</v>
      </c>
      <c r="E15" s="98">
        <f>SUM(E16:E17)</f>
        <v>388.24</v>
      </c>
      <c r="F15" s="58">
        <f t="shared" si="0"/>
        <v>127.29180327868852</v>
      </c>
      <c r="G15" s="58">
        <f t="shared" si="1"/>
        <v>84.68904740091182</v>
      </c>
    </row>
    <row r="16" spans="1:7" ht="15">
      <c r="A16" s="46">
        <v>6413</v>
      </c>
      <c r="B16" s="46" t="s">
        <v>1309</v>
      </c>
      <c r="C16" s="99">
        <v>436.34</v>
      </c>
      <c r="D16" s="99">
        <v>55</v>
      </c>
      <c r="E16" s="99">
        <v>137.64</v>
      </c>
      <c r="F16" s="58">
        <f t="shared" si="0"/>
        <v>250.25454545454542</v>
      </c>
      <c r="G16" s="58">
        <f t="shared" si="1"/>
        <v>31.54420864463492</v>
      </c>
    </row>
    <row r="17" spans="1:7" ht="30">
      <c r="A17" s="46">
        <v>6415</v>
      </c>
      <c r="B17" s="46" t="s">
        <v>1310</v>
      </c>
      <c r="C17" s="99">
        <v>22.09</v>
      </c>
      <c r="D17" s="99">
        <v>250</v>
      </c>
      <c r="E17" s="99">
        <v>250.6</v>
      </c>
      <c r="F17" s="58">
        <f>E17/D17*100</f>
        <v>100.24</v>
      </c>
      <c r="G17" s="58">
        <f t="shared" si="1"/>
        <v>1134.4499773653235</v>
      </c>
    </row>
    <row r="18" spans="1:7" ht="30">
      <c r="A18" s="27">
        <v>65</v>
      </c>
      <c r="B18" s="27" t="s">
        <v>1345</v>
      </c>
      <c r="C18" s="98">
        <f aca="true" t="shared" si="2" ref="C18:E19">C19</f>
        <v>4129929.25</v>
      </c>
      <c r="D18" s="98">
        <f t="shared" si="2"/>
        <v>2755000</v>
      </c>
      <c r="E18" s="98">
        <f t="shared" si="2"/>
        <v>2977039.61</v>
      </c>
      <c r="F18" s="58">
        <f t="shared" si="0"/>
        <v>108.05951397459164</v>
      </c>
      <c r="G18" s="58">
        <f t="shared" si="1"/>
        <v>72.08451839701611</v>
      </c>
    </row>
    <row r="19" spans="1:7" ht="15">
      <c r="A19" s="27">
        <v>652</v>
      </c>
      <c r="B19" s="27" t="s">
        <v>1340</v>
      </c>
      <c r="C19" s="98">
        <f>C20+C21</f>
        <v>4129929.25</v>
      </c>
      <c r="D19" s="98">
        <f>D20+D21</f>
        <v>2755000</v>
      </c>
      <c r="E19" s="98">
        <f t="shared" si="2"/>
        <v>2977039.61</v>
      </c>
      <c r="F19" s="58">
        <f t="shared" si="0"/>
        <v>108.05951397459164</v>
      </c>
      <c r="G19" s="58">
        <f t="shared" si="1"/>
        <v>72.08451839701611</v>
      </c>
    </row>
    <row r="20" spans="1:7" ht="15">
      <c r="A20" s="46">
        <v>6526</v>
      </c>
      <c r="B20" s="46" t="s">
        <v>1304</v>
      </c>
      <c r="C20" s="99">
        <f>2612800.93+1517128.32</f>
        <v>4129929.25</v>
      </c>
      <c r="D20" s="99">
        <v>2755000</v>
      </c>
      <c r="E20" s="99">
        <v>2977039.61</v>
      </c>
      <c r="F20" s="58">
        <f t="shared" si="0"/>
        <v>108.05951397459164</v>
      </c>
      <c r="G20" s="58">
        <f t="shared" si="1"/>
        <v>72.08451839701611</v>
      </c>
    </row>
    <row r="21" spans="1:7" ht="15">
      <c r="A21" s="46">
        <v>6528</v>
      </c>
      <c r="B21" s="46" t="s">
        <v>228</v>
      </c>
      <c r="C21" s="99"/>
      <c r="D21" s="99">
        <v>0</v>
      </c>
      <c r="E21" s="99"/>
      <c r="F21" s="58"/>
      <c r="G21" s="58"/>
    </row>
    <row r="22" spans="1:7" ht="30">
      <c r="A22" s="27">
        <v>66</v>
      </c>
      <c r="B22" s="27" t="s">
        <v>1346</v>
      </c>
      <c r="C22" s="98">
        <f>C23+C26</f>
        <v>1972661.51</v>
      </c>
      <c r="D22" s="98">
        <f>D23+D26</f>
        <v>2024900</v>
      </c>
      <c r="E22" s="98">
        <f>E23+E26</f>
        <v>2118082.69</v>
      </c>
      <c r="F22" s="58">
        <f t="shared" si="0"/>
        <v>104.60184157242334</v>
      </c>
      <c r="G22" s="58">
        <f t="shared" si="1"/>
        <v>107.37182629978925</v>
      </c>
    </row>
    <row r="23" spans="1:7" ht="30">
      <c r="A23" s="27">
        <v>661</v>
      </c>
      <c r="B23" s="27" t="s">
        <v>1341</v>
      </c>
      <c r="C23" s="98">
        <f>C24+C25</f>
        <v>1834016.76</v>
      </c>
      <c r="D23" s="98">
        <f>D24+D25</f>
        <v>1500000</v>
      </c>
      <c r="E23" s="98">
        <f>E24+E25</f>
        <v>1593297.59</v>
      </c>
      <c r="F23" s="58">
        <f t="shared" si="0"/>
        <v>106.21983933333334</v>
      </c>
      <c r="G23" s="58">
        <f t="shared" si="1"/>
        <v>86.87475625904312</v>
      </c>
    </row>
    <row r="24" spans="1:7" s="70" customFormat="1" ht="15">
      <c r="A24" s="46">
        <v>6614</v>
      </c>
      <c r="B24" s="46" t="s">
        <v>1358</v>
      </c>
      <c r="C24" s="100">
        <v>0</v>
      </c>
      <c r="D24" s="100">
        <v>0</v>
      </c>
      <c r="E24" s="100">
        <v>0</v>
      </c>
      <c r="F24" s="58" t="e">
        <f t="shared" si="0"/>
        <v>#DIV/0!</v>
      </c>
      <c r="G24" s="58" t="e">
        <f t="shared" si="1"/>
        <v>#DIV/0!</v>
      </c>
    </row>
    <row r="25" spans="1:7" ht="15">
      <c r="A25" s="46">
        <v>6615</v>
      </c>
      <c r="B25" s="46" t="s">
        <v>1311</v>
      </c>
      <c r="C25" s="100">
        <v>1834016.76</v>
      </c>
      <c r="D25" s="100">
        <v>1500000</v>
      </c>
      <c r="E25" s="100">
        <v>1593297.59</v>
      </c>
      <c r="F25" s="58">
        <f t="shared" si="0"/>
        <v>106.21983933333334</v>
      </c>
      <c r="G25" s="58">
        <f t="shared" si="1"/>
        <v>86.87475625904312</v>
      </c>
    </row>
    <row r="26" spans="1:7" ht="30">
      <c r="A26" s="27">
        <v>663</v>
      </c>
      <c r="B26" s="27" t="s">
        <v>1342</v>
      </c>
      <c r="C26" s="98">
        <f>SUM(C27:C27)</f>
        <v>138644.75</v>
      </c>
      <c r="D26" s="98">
        <f>SUM(D27:D27)</f>
        <v>524900</v>
      </c>
      <c r="E26" s="98">
        <f>SUM(E27:E27)</f>
        <v>524785.1</v>
      </c>
      <c r="F26" s="58">
        <f t="shared" si="0"/>
        <v>99.9781101162126</v>
      </c>
      <c r="G26" s="58" t="s">
        <v>1428</v>
      </c>
    </row>
    <row r="27" spans="1:7" ht="15">
      <c r="A27" s="46">
        <v>6631</v>
      </c>
      <c r="B27" s="46" t="s">
        <v>1312</v>
      </c>
      <c r="C27" s="99">
        <v>138644.75</v>
      </c>
      <c r="D27" s="99">
        <v>524900</v>
      </c>
      <c r="E27" s="99">
        <v>524785.1</v>
      </c>
      <c r="F27" s="58">
        <f t="shared" si="0"/>
        <v>99.9781101162126</v>
      </c>
      <c r="G27" s="58" t="s">
        <v>1428</v>
      </c>
    </row>
    <row r="28" spans="1:7" ht="30">
      <c r="A28" s="27">
        <v>67</v>
      </c>
      <c r="B28" s="27" t="s">
        <v>1347</v>
      </c>
      <c r="C28" s="98">
        <f aca="true" t="shared" si="3" ref="C28:E29">C29</f>
        <v>16650124.79</v>
      </c>
      <c r="D28" s="98">
        <f t="shared" si="3"/>
        <v>17752466</v>
      </c>
      <c r="E28" s="98">
        <f t="shared" si="3"/>
        <v>17498822.97</v>
      </c>
      <c r="F28" s="58">
        <f t="shared" si="0"/>
        <v>98.57122368238869</v>
      </c>
      <c r="G28" s="58">
        <f t="shared" si="1"/>
        <v>105.09724816302712</v>
      </c>
    </row>
    <row r="29" spans="1:7" ht="30">
      <c r="A29" s="27">
        <v>671</v>
      </c>
      <c r="B29" s="27" t="s">
        <v>1343</v>
      </c>
      <c r="C29" s="98">
        <f t="shared" si="3"/>
        <v>16650124.79</v>
      </c>
      <c r="D29" s="98">
        <f t="shared" si="3"/>
        <v>17752466</v>
      </c>
      <c r="E29" s="98">
        <f t="shared" si="3"/>
        <v>17498822.97</v>
      </c>
      <c r="F29" s="58">
        <f t="shared" si="0"/>
        <v>98.57122368238869</v>
      </c>
      <c r="G29" s="58">
        <f t="shared" si="1"/>
        <v>105.09724816302712</v>
      </c>
    </row>
    <row r="30" spans="1:7" ht="15">
      <c r="A30" s="46">
        <v>6711</v>
      </c>
      <c r="B30" s="46" t="s">
        <v>1303</v>
      </c>
      <c r="C30" s="99">
        <v>16650124.79</v>
      </c>
      <c r="D30" s="99">
        <v>17752466</v>
      </c>
      <c r="E30" s="99">
        <v>17498822.97</v>
      </c>
      <c r="F30" s="58">
        <f t="shared" si="0"/>
        <v>98.57122368238869</v>
      </c>
      <c r="G30" s="58">
        <f t="shared" si="1"/>
        <v>105.09724816302712</v>
      </c>
    </row>
    <row r="31" spans="1:7" ht="15">
      <c r="A31" s="27">
        <v>68</v>
      </c>
      <c r="B31" s="27" t="s">
        <v>1348</v>
      </c>
      <c r="C31" s="98">
        <f>+C32</f>
        <v>0</v>
      </c>
      <c r="D31" s="98">
        <f>+D32</f>
        <v>0</v>
      </c>
      <c r="E31" s="98">
        <f>+E32</f>
        <v>0</v>
      </c>
      <c r="F31" s="58" t="s">
        <v>1428</v>
      </c>
      <c r="G31" s="58" t="s">
        <v>1428</v>
      </c>
    </row>
    <row r="32" spans="1:7" ht="15">
      <c r="A32" s="27">
        <v>683</v>
      </c>
      <c r="B32" s="27" t="s">
        <v>1305</v>
      </c>
      <c r="C32" s="98">
        <f>C33</f>
        <v>0</v>
      </c>
      <c r="D32" s="98">
        <f>D33</f>
        <v>0</v>
      </c>
      <c r="E32" s="98">
        <f>E33</f>
        <v>0</v>
      </c>
      <c r="F32" s="58" t="s">
        <v>1428</v>
      </c>
      <c r="G32" s="58" t="s">
        <v>1428</v>
      </c>
    </row>
    <row r="33" spans="1:7" ht="15">
      <c r="A33" s="46">
        <v>6831</v>
      </c>
      <c r="B33" s="46" t="s">
        <v>1305</v>
      </c>
      <c r="C33" s="99">
        <v>0</v>
      </c>
      <c r="D33" s="99">
        <v>0</v>
      </c>
      <c r="E33" s="99">
        <v>0</v>
      </c>
      <c r="F33" s="58" t="s">
        <v>1428</v>
      </c>
      <c r="G33" s="58" t="s">
        <v>1428</v>
      </c>
    </row>
    <row r="34" spans="1:7" ht="15">
      <c r="A34" s="47"/>
      <c r="B34" s="47" t="s">
        <v>1313</v>
      </c>
      <c r="C34" s="101">
        <f>C5</f>
        <v>23680292.799999997</v>
      </c>
      <c r="D34" s="101">
        <f>D5</f>
        <v>25175987</v>
      </c>
      <c r="E34" s="101">
        <f>E5</f>
        <v>25236518.93</v>
      </c>
      <c r="F34" s="62">
        <f>E34/D34*100</f>
        <v>100.2404351813496</v>
      </c>
      <c r="G34" s="62">
        <f>E34/C34*100</f>
        <v>106.57181962716274</v>
      </c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3">
      <selection activeCell="C24" sqref="C24"/>
    </sheetView>
  </sheetViews>
  <sheetFormatPr defaultColWidth="9.140625" defaultRowHeight="15"/>
  <cols>
    <col min="1" max="1" width="7.7109375" style="0" customWidth="1"/>
    <col min="2" max="2" width="51.28125" style="0" customWidth="1"/>
    <col min="3" max="3" width="16.00390625" style="0" customWidth="1"/>
    <col min="4" max="4" width="19.8515625" style="0" customWidth="1"/>
    <col min="5" max="5" width="15.140625" style="0" customWidth="1"/>
    <col min="7" max="7" width="9.57421875" style="0" customWidth="1"/>
  </cols>
  <sheetData>
    <row r="1" spans="1:7" ht="15">
      <c r="A1" s="134" t="s">
        <v>1357</v>
      </c>
      <c r="B1" s="134"/>
      <c r="C1" s="134"/>
      <c r="D1" s="134"/>
      <c r="E1" s="134"/>
      <c r="F1" s="134"/>
      <c r="G1" s="134"/>
    </row>
    <row r="3" spans="1:7" ht="15">
      <c r="A3" s="133" t="s">
        <v>1400</v>
      </c>
      <c r="B3" s="133"/>
      <c r="C3" s="133"/>
      <c r="D3" s="133"/>
      <c r="E3" s="133"/>
      <c r="F3" s="133"/>
      <c r="G3" s="133"/>
    </row>
    <row r="4" spans="1:7" ht="51.75" customHeight="1">
      <c r="A4" s="66" t="s">
        <v>1301</v>
      </c>
      <c r="B4" s="66" t="s">
        <v>1302</v>
      </c>
      <c r="C4" s="53" t="s">
        <v>1398</v>
      </c>
      <c r="D4" s="53" t="s">
        <v>1426</v>
      </c>
      <c r="E4" s="26" t="s">
        <v>1427</v>
      </c>
      <c r="F4" s="26" t="s">
        <v>1362</v>
      </c>
      <c r="G4" s="26" t="s">
        <v>1361</v>
      </c>
    </row>
    <row r="5" spans="1:7" ht="15">
      <c r="A5" s="66">
        <v>1</v>
      </c>
      <c r="B5" s="66">
        <v>2</v>
      </c>
      <c r="C5" s="26">
        <v>3</v>
      </c>
      <c r="D5" s="26">
        <v>4</v>
      </c>
      <c r="E5" s="26">
        <v>5</v>
      </c>
      <c r="F5" s="66">
        <v>7</v>
      </c>
      <c r="G5" s="26">
        <v>6</v>
      </c>
    </row>
    <row r="6" spans="1:7" s="45" customFormat="1" ht="15">
      <c r="A6" s="60">
        <v>6</v>
      </c>
      <c r="B6" s="27" t="s">
        <v>1332</v>
      </c>
      <c r="C6" s="98">
        <f>C7+C11+C16+C21+C24+C28</f>
        <v>23680292.8</v>
      </c>
      <c r="D6" s="98">
        <f>D7+D11+D16+D21+D24+D28</f>
        <v>25175987</v>
      </c>
      <c r="E6" s="98">
        <f>E7+E11+E16+E21+E24+E28</f>
        <v>25236518.930000003</v>
      </c>
      <c r="F6" s="61">
        <f>E6/D6*100</f>
        <v>100.2404351813496</v>
      </c>
      <c r="G6" s="61">
        <f aca="true" t="shared" si="0" ref="G6:G15">E6/C6*100</f>
        <v>106.57181962716274</v>
      </c>
    </row>
    <row r="7" spans="1:8" ht="15">
      <c r="A7" s="51"/>
      <c r="B7" s="51" t="s">
        <v>1261</v>
      </c>
      <c r="C7" s="102">
        <f>SUM(C8:C10)</f>
        <v>16650124.79</v>
      </c>
      <c r="D7" s="102">
        <f>SUM(D8:D10)</f>
        <v>17752466</v>
      </c>
      <c r="E7" s="102">
        <f>SUM(E8:E10)</f>
        <v>17498822.97</v>
      </c>
      <c r="F7" s="110">
        <f aca="true" t="shared" si="1" ref="F7:F33">E7/D7*100</f>
        <v>98.57122368238869</v>
      </c>
      <c r="G7" s="110">
        <f t="shared" si="0"/>
        <v>105.09724816302712</v>
      </c>
      <c r="H7" s="69"/>
    </row>
    <row r="8" spans="1:8" ht="15">
      <c r="A8" s="19">
        <v>6415</v>
      </c>
      <c r="B8" s="19" t="s">
        <v>1421</v>
      </c>
      <c r="C8" s="100">
        <v>0</v>
      </c>
      <c r="D8" s="100">
        <v>0</v>
      </c>
      <c r="E8" s="100">
        <v>0</v>
      </c>
      <c r="F8" s="61" t="s">
        <v>1428</v>
      </c>
      <c r="G8" s="61" t="s">
        <v>1428</v>
      </c>
      <c r="H8" s="69"/>
    </row>
    <row r="9" spans="1:7" ht="15">
      <c r="A9" s="19">
        <v>6711</v>
      </c>
      <c r="B9" s="19" t="s">
        <v>1303</v>
      </c>
      <c r="C9" s="100">
        <f>'Opći dio prihodi'!C30</f>
        <v>16650124.79</v>
      </c>
      <c r="D9" s="100">
        <f>'Opći dio prihodi'!D30</f>
        <v>17752466</v>
      </c>
      <c r="E9" s="100">
        <f>'Opći dio prihodi'!E30</f>
        <v>17498822.97</v>
      </c>
      <c r="F9" s="61">
        <f t="shared" si="1"/>
        <v>98.57122368238869</v>
      </c>
      <c r="G9" s="61">
        <f t="shared" si="0"/>
        <v>105.09724816302712</v>
      </c>
    </row>
    <row r="10" spans="1:7" ht="15">
      <c r="A10" s="19">
        <v>6831</v>
      </c>
      <c r="B10" s="19" t="s">
        <v>1305</v>
      </c>
      <c r="C10" s="100">
        <f>'Opći dio prihodi'!C33</f>
        <v>0</v>
      </c>
      <c r="D10" s="100">
        <f>'Opći dio prihodi'!D33</f>
        <v>0</v>
      </c>
      <c r="E10" s="100">
        <f>'Opći dio prihodi'!E33</f>
        <v>0</v>
      </c>
      <c r="F10" s="61" t="s">
        <v>1428</v>
      </c>
      <c r="G10" s="61" t="s">
        <v>1428</v>
      </c>
    </row>
    <row r="11" spans="1:7" ht="15">
      <c r="A11" s="51"/>
      <c r="B11" s="51" t="s">
        <v>1263</v>
      </c>
      <c r="C11" s="102">
        <f>SUM(C12:C15)</f>
        <v>1834016.76</v>
      </c>
      <c r="D11" s="102">
        <f>SUM(D12:D15)</f>
        <v>1500000</v>
      </c>
      <c r="E11" s="102">
        <f>SUM(E12:E15)</f>
        <v>1593628.26</v>
      </c>
      <c r="F11" s="110">
        <f t="shared" si="1"/>
        <v>106.24188400000001</v>
      </c>
      <c r="G11" s="110">
        <f t="shared" si="0"/>
        <v>86.89278608337254</v>
      </c>
    </row>
    <row r="12" spans="1:7" ht="15">
      <c r="A12" s="19">
        <v>6413</v>
      </c>
      <c r="B12" s="19" t="s">
        <v>1309</v>
      </c>
      <c r="C12" s="100">
        <v>0</v>
      </c>
      <c r="D12" s="100">
        <v>0</v>
      </c>
      <c r="E12" s="100">
        <v>82.98</v>
      </c>
      <c r="F12" s="61" t="e">
        <f t="shared" si="1"/>
        <v>#DIV/0!</v>
      </c>
      <c r="G12" s="61" t="e">
        <f t="shared" si="0"/>
        <v>#DIV/0!</v>
      </c>
    </row>
    <row r="13" spans="1:7" ht="15">
      <c r="A13" s="19">
        <v>6415</v>
      </c>
      <c r="B13" s="19" t="s">
        <v>1421</v>
      </c>
      <c r="C13" s="100">
        <v>0</v>
      </c>
      <c r="D13" s="100">
        <v>0</v>
      </c>
      <c r="E13" s="100">
        <v>247.69</v>
      </c>
      <c r="F13" s="61" t="s">
        <v>1428</v>
      </c>
      <c r="G13" s="61" t="s">
        <v>1428</v>
      </c>
    </row>
    <row r="14" spans="1:7" ht="15">
      <c r="A14" s="19">
        <v>6614</v>
      </c>
      <c r="B14" s="21" t="s">
        <v>1367</v>
      </c>
      <c r="C14" s="100">
        <f>'Opći dio prihodi'!C24</f>
        <v>0</v>
      </c>
      <c r="D14" s="100">
        <f>'Opći dio prihodi'!D24</f>
        <v>0</v>
      </c>
      <c r="E14" s="100">
        <f>'Opći dio prihodi'!E24</f>
        <v>0</v>
      </c>
      <c r="F14" s="61" t="e">
        <f>E14/D14*100</f>
        <v>#DIV/0!</v>
      </c>
      <c r="G14" s="61" t="e">
        <f t="shared" si="0"/>
        <v>#DIV/0!</v>
      </c>
    </row>
    <row r="15" spans="1:7" ht="15">
      <c r="A15" s="19">
        <v>6615</v>
      </c>
      <c r="B15" s="19" t="s">
        <v>1404</v>
      </c>
      <c r="C15" s="100">
        <f>'Opći dio prihodi'!C25</f>
        <v>1834016.76</v>
      </c>
      <c r="D15" s="100">
        <f>'Opći dio prihodi'!D25</f>
        <v>1500000</v>
      </c>
      <c r="E15" s="100">
        <f>'Opći dio prihodi'!E25</f>
        <v>1593297.59</v>
      </c>
      <c r="F15" s="61">
        <f t="shared" si="1"/>
        <v>106.21983933333334</v>
      </c>
      <c r="G15" s="61">
        <f t="shared" si="0"/>
        <v>86.87475625904312</v>
      </c>
    </row>
    <row r="16" spans="1:7" ht="15">
      <c r="A16" s="51"/>
      <c r="B16" s="51" t="s">
        <v>1262</v>
      </c>
      <c r="C16" s="102">
        <f>SUM(C17:C20)</f>
        <v>4130387.68</v>
      </c>
      <c r="D16" s="102">
        <f>SUM(D17:D20)</f>
        <v>2755305</v>
      </c>
      <c r="E16" s="102">
        <f>SUM(E17:E20)</f>
        <v>2977097.1799999997</v>
      </c>
      <c r="F16" s="110">
        <f t="shared" si="1"/>
        <v>108.04964169121021</v>
      </c>
      <c r="G16" s="110">
        <f aca="true" t="shared" si="2" ref="G16:G24">E16/C16*100</f>
        <v>72.07791158238201</v>
      </c>
    </row>
    <row r="17" spans="1:7" ht="15">
      <c r="A17" s="112">
        <v>6413</v>
      </c>
      <c r="B17" s="114" t="s">
        <v>1309</v>
      </c>
      <c r="C17" s="99">
        <v>436.34</v>
      </c>
      <c r="D17" s="99">
        <v>55</v>
      </c>
      <c r="E17" s="99">
        <v>54.66</v>
      </c>
      <c r="F17" s="113">
        <v>166.11231622077608</v>
      </c>
      <c r="G17" s="113">
        <v>95.88869565217392</v>
      </c>
    </row>
    <row r="18" spans="1:9" ht="30">
      <c r="A18" s="19">
        <v>6415</v>
      </c>
      <c r="B18" s="21" t="s">
        <v>1310</v>
      </c>
      <c r="C18" s="100">
        <v>22.09</v>
      </c>
      <c r="D18" s="100">
        <v>250</v>
      </c>
      <c r="E18" s="99">
        <v>2.91</v>
      </c>
      <c r="F18" s="61">
        <f t="shared" si="1"/>
        <v>1.1640000000000001</v>
      </c>
      <c r="G18" s="61">
        <f t="shared" si="2"/>
        <v>13.173381620642827</v>
      </c>
      <c r="I18" s="116"/>
    </row>
    <row r="19" spans="1:10" s="117" customFormat="1" ht="15">
      <c r="A19" s="19">
        <v>6526</v>
      </c>
      <c r="B19" s="19" t="s">
        <v>1464</v>
      </c>
      <c r="C19" s="100">
        <f>2612800.93+1517128.32</f>
        <v>4129929.25</v>
      </c>
      <c r="D19" s="100"/>
      <c r="E19" s="99"/>
      <c r="F19" s="61"/>
      <c r="G19" s="61"/>
      <c r="J19" s="116"/>
    </row>
    <row r="20" spans="1:10" ht="15">
      <c r="A20" s="19">
        <v>6528</v>
      </c>
      <c r="B20" s="19" t="s">
        <v>1465</v>
      </c>
      <c r="C20" s="100">
        <v>0</v>
      </c>
      <c r="D20" s="100">
        <f>'Opći dio prihodi'!D20</f>
        <v>2755000</v>
      </c>
      <c r="E20" s="100">
        <f>'Opći dio prihodi'!E20</f>
        <v>2977039.61</v>
      </c>
      <c r="F20" s="61">
        <f t="shared" si="1"/>
        <v>108.05951397459164</v>
      </c>
      <c r="G20" s="61" t="e">
        <f t="shared" si="2"/>
        <v>#DIV/0!</v>
      </c>
      <c r="J20" s="116"/>
    </row>
    <row r="21" spans="1:7" ht="15">
      <c r="A21" s="51"/>
      <c r="B21" s="51" t="s">
        <v>1355</v>
      </c>
      <c r="C21" s="102">
        <f>C22+C23</f>
        <v>370380.48</v>
      </c>
      <c r="D21" s="102">
        <f>SUM(D22:D23)</f>
        <v>196010</v>
      </c>
      <c r="E21" s="102">
        <f>SUM(E22:E23)</f>
        <v>195970.82</v>
      </c>
      <c r="F21" s="110">
        <f t="shared" si="1"/>
        <v>99.98001122391716</v>
      </c>
      <c r="G21" s="110">
        <f t="shared" si="2"/>
        <v>52.910677150156516</v>
      </c>
    </row>
    <row r="22" spans="1:7" ht="15">
      <c r="A22" s="19">
        <v>6323</v>
      </c>
      <c r="B22" s="19" t="s">
        <v>1306</v>
      </c>
      <c r="C22" s="100">
        <f>'Opći dio prihodi'!C8</f>
        <v>370380.48</v>
      </c>
      <c r="D22" s="100">
        <f>'Opći dio prihodi'!D8</f>
        <v>196010</v>
      </c>
      <c r="E22" s="100">
        <f>'Opći dio prihodi'!E8</f>
        <v>195970.82</v>
      </c>
      <c r="F22" s="61">
        <f t="shared" si="1"/>
        <v>99.98001122391716</v>
      </c>
      <c r="G22" s="61">
        <f t="shared" si="2"/>
        <v>52.910677150156516</v>
      </c>
    </row>
    <row r="23" spans="1:7" ht="15">
      <c r="A23" s="19">
        <v>6393</v>
      </c>
      <c r="B23" s="21" t="s">
        <v>1386</v>
      </c>
      <c r="C23" s="100">
        <v>0</v>
      </c>
      <c r="D23" s="100">
        <v>0</v>
      </c>
      <c r="E23" s="100">
        <v>0</v>
      </c>
      <c r="F23" s="61" t="s">
        <v>1428</v>
      </c>
      <c r="G23" s="61" t="s">
        <v>1428</v>
      </c>
    </row>
    <row r="24" spans="1:7" ht="15">
      <c r="A24" s="51"/>
      <c r="B24" s="51" t="s">
        <v>174</v>
      </c>
      <c r="C24" s="102">
        <f>SUM(C25:C27)</f>
        <v>556738.34</v>
      </c>
      <c r="D24" s="102">
        <f>SUM(D25:D27)</f>
        <v>2447306</v>
      </c>
      <c r="E24" s="102">
        <f>SUM(E25:E27)</f>
        <v>2446214.6</v>
      </c>
      <c r="F24" s="110">
        <f t="shared" si="1"/>
        <v>99.95540402385316</v>
      </c>
      <c r="G24" s="110">
        <f t="shared" si="2"/>
        <v>439.3831759458133</v>
      </c>
    </row>
    <row r="25" spans="1:7" ht="30">
      <c r="A25" s="19">
        <v>6361</v>
      </c>
      <c r="B25" s="46" t="s">
        <v>1409</v>
      </c>
      <c r="C25" s="100">
        <v>0</v>
      </c>
      <c r="D25" s="100">
        <v>1200</v>
      </c>
      <c r="E25" s="100">
        <f>'Opći dio prihodi'!E10</f>
        <v>1200</v>
      </c>
      <c r="F25" s="61" t="s">
        <v>1428</v>
      </c>
      <c r="G25" s="61" t="s">
        <v>1428</v>
      </c>
    </row>
    <row r="26" spans="1:7" ht="30">
      <c r="A26" s="19">
        <v>6391</v>
      </c>
      <c r="B26" s="21" t="s">
        <v>1407</v>
      </c>
      <c r="C26" s="100">
        <f>'Opći dio prihodi'!C12</f>
        <v>121274.79</v>
      </c>
      <c r="D26" s="100">
        <f>'Opći dio prihodi'!D12</f>
        <v>1947859</v>
      </c>
      <c r="E26" s="100">
        <f>'Opći dio prihodi'!E12</f>
        <v>1946766.37</v>
      </c>
      <c r="F26" s="61">
        <f>E26/D26*100</f>
        <v>99.9439061040866</v>
      </c>
      <c r="G26" s="61">
        <f>E26/C26*100</f>
        <v>1605.252311712929</v>
      </c>
    </row>
    <row r="27" spans="1:7" ht="15">
      <c r="A27" s="19">
        <v>6393</v>
      </c>
      <c r="B27" s="21" t="s">
        <v>1386</v>
      </c>
      <c r="C27" s="100">
        <v>435463.55</v>
      </c>
      <c r="D27" s="100">
        <v>498247</v>
      </c>
      <c r="E27" s="100">
        <f>'Opći dio prihodi'!E13</f>
        <v>498248.23</v>
      </c>
      <c r="F27" s="61">
        <f t="shared" si="1"/>
        <v>100.00024686551048</v>
      </c>
      <c r="G27" s="61">
        <f>E27/C27*100</f>
        <v>114.41789559654303</v>
      </c>
    </row>
    <row r="28" spans="1:7" ht="15">
      <c r="A28" s="51"/>
      <c r="B28" s="51" t="s">
        <v>522</v>
      </c>
      <c r="C28" s="102">
        <f>SUM(C29:C30)</f>
        <v>138644.75</v>
      </c>
      <c r="D28" s="102">
        <f>SUM(D29:D30)</f>
        <v>524900</v>
      </c>
      <c r="E28" s="102">
        <f>SUM(E29:E30)</f>
        <v>524785.1</v>
      </c>
      <c r="F28" s="110" t="s">
        <v>1428</v>
      </c>
      <c r="G28" s="110" t="s">
        <v>1428</v>
      </c>
    </row>
    <row r="29" spans="1:7" ht="15">
      <c r="A29" s="19">
        <v>6631</v>
      </c>
      <c r="B29" s="19" t="s">
        <v>1312</v>
      </c>
      <c r="C29" s="100">
        <v>138644.75</v>
      </c>
      <c r="D29" s="100">
        <f>22100+12800+490000</f>
        <v>524900</v>
      </c>
      <c r="E29" s="100">
        <v>524785.1</v>
      </c>
      <c r="F29" s="61" t="s">
        <v>1428</v>
      </c>
      <c r="G29" s="61" t="s">
        <v>1428</v>
      </c>
    </row>
    <row r="30" spans="1:7" ht="15">
      <c r="A30" s="19">
        <v>6632</v>
      </c>
      <c r="B30" s="19" t="s">
        <v>1422</v>
      </c>
      <c r="C30" s="100">
        <v>0</v>
      </c>
      <c r="D30" s="100">
        <v>0</v>
      </c>
      <c r="E30" s="100">
        <v>0</v>
      </c>
      <c r="F30" s="61" t="s">
        <v>1428</v>
      </c>
      <c r="G30" s="61" t="s">
        <v>1428</v>
      </c>
    </row>
    <row r="31" spans="1:13" ht="15">
      <c r="A31" s="51"/>
      <c r="B31" s="51" t="s">
        <v>738</v>
      </c>
      <c r="C31" s="102">
        <f>C32</f>
        <v>0</v>
      </c>
      <c r="D31" s="102">
        <f>D32</f>
        <v>0</v>
      </c>
      <c r="E31" s="102">
        <f>E32</f>
        <v>0</v>
      </c>
      <c r="F31" s="110" t="s">
        <v>1428</v>
      </c>
      <c r="G31" s="110" t="s">
        <v>1428</v>
      </c>
      <c r="M31" s="20"/>
    </row>
    <row r="32" spans="1:7" ht="15">
      <c r="A32" s="19">
        <v>7211</v>
      </c>
      <c r="B32" s="19" t="s">
        <v>1308</v>
      </c>
      <c r="C32" s="100">
        <v>0</v>
      </c>
      <c r="D32" s="100">
        <v>0</v>
      </c>
      <c r="E32" s="100">
        <v>0</v>
      </c>
      <c r="F32" s="61" t="s">
        <v>1428</v>
      </c>
      <c r="G32" s="61" t="s">
        <v>1428</v>
      </c>
    </row>
    <row r="33" spans="1:7" ht="15">
      <c r="A33" s="47"/>
      <c r="B33" s="47" t="s">
        <v>1313</v>
      </c>
      <c r="C33" s="101">
        <f>C31+C6</f>
        <v>23680292.8</v>
      </c>
      <c r="D33" s="101">
        <f>D31+D6</f>
        <v>25175987</v>
      </c>
      <c r="E33" s="101">
        <f>E31+E6</f>
        <v>25236518.930000003</v>
      </c>
      <c r="F33" s="111">
        <f t="shared" si="1"/>
        <v>100.2404351813496</v>
      </c>
      <c r="G33" s="111">
        <f>E33/C33*100</f>
        <v>106.57181962716274</v>
      </c>
    </row>
  </sheetData>
  <sheetProtection/>
  <mergeCells count="2"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9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7.00390625" style="0" customWidth="1"/>
    <col min="2" max="2" width="51.7109375" style="0" customWidth="1"/>
    <col min="3" max="3" width="16.140625" style="0" customWidth="1"/>
    <col min="4" max="4" width="20.140625" style="0" customWidth="1"/>
    <col min="5" max="5" width="16.00390625" style="0" customWidth="1"/>
    <col min="6" max="6" width="9.28125" style="0" customWidth="1"/>
    <col min="7" max="7" width="9.00390625" style="0" customWidth="1"/>
    <col min="9" max="9" width="12.28125" style="0" bestFit="1" customWidth="1"/>
    <col min="10" max="10" width="10.00390625" style="0" bestFit="1" customWidth="1"/>
  </cols>
  <sheetData>
    <row r="2" spans="1:7" ht="15">
      <c r="A2" s="126" t="s">
        <v>1399</v>
      </c>
      <c r="B2" s="126"/>
      <c r="C2" s="126"/>
      <c r="D2" s="126"/>
      <c r="E2" s="126"/>
      <c r="G2" s="74"/>
    </row>
    <row r="3" spans="1:7" ht="41.25" customHeight="1">
      <c r="A3" s="66" t="s">
        <v>1301</v>
      </c>
      <c r="B3" s="66" t="s">
        <v>1350</v>
      </c>
      <c r="C3" s="26" t="s">
        <v>1398</v>
      </c>
      <c r="D3" s="26" t="s">
        <v>1426</v>
      </c>
      <c r="E3" s="26" t="s">
        <v>1427</v>
      </c>
      <c r="F3" s="26" t="s">
        <v>1362</v>
      </c>
      <c r="G3" s="26" t="s">
        <v>1361</v>
      </c>
    </row>
    <row r="4" spans="1:7" ht="15">
      <c r="A4" s="66">
        <v>1</v>
      </c>
      <c r="B4" s="66">
        <v>2</v>
      </c>
      <c r="C4" s="26">
        <v>3</v>
      </c>
      <c r="D4" s="25">
        <v>4</v>
      </c>
      <c r="E4" s="26">
        <v>5</v>
      </c>
      <c r="F4" s="26">
        <v>7</v>
      </c>
      <c r="G4" s="26">
        <v>6</v>
      </c>
    </row>
    <row r="5" spans="1:7" ht="15">
      <c r="A5" s="27">
        <v>3</v>
      </c>
      <c r="B5" s="27" t="s">
        <v>1325</v>
      </c>
      <c r="C5" s="98">
        <f>C6+C16+C48+C54+C57+C60</f>
        <v>22357999.39</v>
      </c>
      <c r="D5" s="98">
        <f>D6+D16+D48+D54+D57+D60</f>
        <v>25066186</v>
      </c>
      <c r="E5" s="98">
        <f>E6+E16+E48+E54+E57+E60</f>
        <v>24744502.369999997</v>
      </c>
      <c r="F5" s="58">
        <f>E5/D5*100</f>
        <v>98.71666303760772</v>
      </c>
      <c r="G5" s="58">
        <f>E5/C5*100</f>
        <v>110.67404528630323</v>
      </c>
    </row>
    <row r="6" spans="1:7" ht="15">
      <c r="A6" s="27">
        <v>31</v>
      </c>
      <c r="B6" s="27" t="s">
        <v>1296</v>
      </c>
      <c r="C6" s="98">
        <f>C7+C11+C13</f>
        <v>17593175.259999998</v>
      </c>
      <c r="D6" s="98">
        <f>D7+D11+D13</f>
        <v>18974460</v>
      </c>
      <c r="E6" s="98">
        <f>E7+E11+E13</f>
        <v>19001315.709999997</v>
      </c>
      <c r="F6" s="58">
        <f aca="true" t="shared" si="0" ref="F6:F67">E6/D6*100</f>
        <v>100.14153609641589</v>
      </c>
      <c r="G6" s="58">
        <f aca="true" t="shared" si="1" ref="G6:G67">E6/C6*100</f>
        <v>108.00390167886044</v>
      </c>
    </row>
    <row r="7" spans="1:9" ht="15">
      <c r="A7" s="27">
        <v>311</v>
      </c>
      <c r="B7" s="27" t="s">
        <v>1351</v>
      </c>
      <c r="C7" s="98">
        <f>C8+C9+C10</f>
        <v>14679693.139999999</v>
      </c>
      <c r="D7" s="98">
        <f>D8+D9+D10</f>
        <v>15734720</v>
      </c>
      <c r="E7" s="98">
        <f>E8+E9+E10</f>
        <v>15755697.459999999</v>
      </c>
      <c r="F7" s="58">
        <f t="shared" si="0"/>
        <v>100.13331956336052</v>
      </c>
      <c r="G7" s="58">
        <f t="shared" si="1"/>
        <v>107.32988291879239</v>
      </c>
      <c r="I7" s="116"/>
    </row>
    <row r="8" spans="1:7" ht="15">
      <c r="A8" s="46">
        <v>3111</v>
      </c>
      <c r="B8" s="46" t="s">
        <v>1287</v>
      </c>
      <c r="C8" s="99">
        <f>12584147.15+342991.86+1253593.3+274029.69+174877.62+50053.52</f>
        <v>14679693.139999999</v>
      </c>
      <c r="D8" s="99">
        <f>13406905+270000+275000+275855+1256960+250000</f>
        <v>15734720</v>
      </c>
      <c r="E8" s="99">
        <f>13411946.67+279242.95+270727.65+275018.67+1268835.08+249926.44</f>
        <v>15755697.459999999</v>
      </c>
      <c r="F8" s="58">
        <f t="shared" si="0"/>
        <v>100.13331956336052</v>
      </c>
      <c r="G8" s="58">
        <f t="shared" si="1"/>
        <v>107.32988291879239</v>
      </c>
    </row>
    <row r="9" spans="1:9" ht="15">
      <c r="A9" s="46">
        <v>3112</v>
      </c>
      <c r="B9" s="46" t="s">
        <v>1429</v>
      </c>
      <c r="C9" s="99">
        <v>0</v>
      </c>
      <c r="D9" s="99">
        <v>0</v>
      </c>
      <c r="E9" s="99">
        <v>0</v>
      </c>
      <c r="F9" s="58" t="e">
        <f t="shared" si="0"/>
        <v>#DIV/0!</v>
      </c>
      <c r="G9" s="58" t="e">
        <f t="shared" si="1"/>
        <v>#DIV/0!</v>
      </c>
      <c r="I9" s="116"/>
    </row>
    <row r="10" spans="1:7" ht="15">
      <c r="A10" s="46">
        <v>3113</v>
      </c>
      <c r="B10" s="46" t="s">
        <v>1432</v>
      </c>
      <c r="C10" s="99">
        <v>0</v>
      </c>
      <c r="D10" s="99">
        <v>0</v>
      </c>
      <c r="E10" s="99">
        <v>0</v>
      </c>
      <c r="F10" s="58" t="e">
        <f t="shared" si="0"/>
        <v>#DIV/0!</v>
      </c>
      <c r="G10" s="58" t="e">
        <f t="shared" si="1"/>
        <v>#DIV/0!</v>
      </c>
    </row>
    <row r="11" spans="1:9" ht="15">
      <c r="A11" s="27">
        <v>312</v>
      </c>
      <c r="B11" s="27" t="s">
        <v>1288</v>
      </c>
      <c r="C11" s="98">
        <f>C12</f>
        <v>514683.38999999996</v>
      </c>
      <c r="D11" s="98">
        <f>D12</f>
        <v>685860</v>
      </c>
      <c r="E11" s="98">
        <f>E12</f>
        <v>695369.51</v>
      </c>
      <c r="F11" s="58">
        <f t="shared" si="0"/>
        <v>101.38650890852361</v>
      </c>
      <c r="G11" s="58">
        <f t="shared" si="1"/>
        <v>135.1062660094782</v>
      </c>
      <c r="I11" s="116"/>
    </row>
    <row r="12" spans="1:10" ht="15">
      <c r="A12" s="46">
        <v>3121</v>
      </c>
      <c r="B12" s="46" t="s">
        <v>1288</v>
      </c>
      <c r="C12" s="99">
        <f>299803.23+38526.3+163353.86+7000+3000+3000</f>
        <v>514683.38999999996</v>
      </c>
      <c r="D12" s="99">
        <f>353103+36000+250000+8250+35507+3000</f>
        <v>685860</v>
      </c>
      <c r="E12" s="99">
        <f>352485.84+36007.23+236469.54+10750+47156.9+12500</f>
        <v>695369.51</v>
      </c>
      <c r="F12" s="58">
        <f t="shared" si="0"/>
        <v>101.38650890852361</v>
      </c>
      <c r="G12" s="58">
        <f t="shared" si="1"/>
        <v>135.1062660094782</v>
      </c>
      <c r="J12" s="69"/>
    </row>
    <row r="13" spans="1:7" ht="15">
      <c r="A13" s="27">
        <v>313</v>
      </c>
      <c r="B13" s="27" t="s">
        <v>1298</v>
      </c>
      <c r="C13" s="98">
        <f>C14</f>
        <v>2398798.73</v>
      </c>
      <c r="D13" s="98">
        <f>D14+D15</f>
        <v>2553880</v>
      </c>
      <c r="E13" s="98">
        <f>E14+E15</f>
        <v>2550248.7399999998</v>
      </c>
      <c r="F13" s="58">
        <f t="shared" si="0"/>
        <v>99.85781399282659</v>
      </c>
      <c r="G13" s="58">
        <f t="shared" si="1"/>
        <v>106.31357721287438</v>
      </c>
    </row>
    <row r="14" spans="1:7" ht="15" customHeight="1">
      <c r="A14" s="46">
        <v>3132</v>
      </c>
      <c r="B14" s="46" t="s">
        <v>1324</v>
      </c>
      <c r="C14" s="99">
        <f>2062246.76+55414.17+207068.1+45214.9+28854.8</f>
        <v>2398798.73</v>
      </c>
      <c r="D14" s="99">
        <f>2197734+46440+47300+47336+204760+9200</f>
        <v>2552770</v>
      </c>
      <c r="E14" s="99">
        <f>2197829.35+46924.78+44670.02+45378.01+205558.19+9174.18</f>
        <v>2549534.53</v>
      </c>
      <c r="F14" s="58">
        <f t="shared" si="0"/>
        <v>99.87325650176082</v>
      </c>
      <c r="G14" s="58">
        <f t="shared" si="1"/>
        <v>106.28380356029285</v>
      </c>
    </row>
    <row r="15" spans="1:7" ht="15" customHeight="1">
      <c r="A15" s="46">
        <v>3133</v>
      </c>
      <c r="B15" s="46" t="s">
        <v>1433</v>
      </c>
      <c r="C15" s="99">
        <v>0</v>
      </c>
      <c r="D15" s="99">
        <v>1110</v>
      </c>
      <c r="E15" s="99">
        <v>714.21</v>
      </c>
      <c r="F15" s="58">
        <f t="shared" si="0"/>
        <v>64.34324324324324</v>
      </c>
      <c r="G15" s="58" t="e">
        <f t="shared" si="1"/>
        <v>#DIV/0!</v>
      </c>
    </row>
    <row r="16" spans="1:7" ht="15">
      <c r="A16" s="27">
        <v>32</v>
      </c>
      <c r="B16" s="27" t="s">
        <v>1299</v>
      </c>
      <c r="C16" s="98">
        <f>C17+C22+C29+C41+C39</f>
        <v>4557889.550000001</v>
      </c>
      <c r="D16" s="98">
        <f>D17+D22+D29+D41+D39</f>
        <v>5836721</v>
      </c>
      <c r="E16" s="98">
        <f>E17+E22+E29+E39+E41</f>
        <v>5479307.280000001</v>
      </c>
      <c r="F16" s="58">
        <f t="shared" si="0"/>
        <v>93.87646385701836</v>
      </c>
      <c r="G16" s="58">
        <f t="shared" si="1"/>
        <v>120.2158854419805</v>
      </c>
    </row>
    <row r="17" spans="1:7" ht="15">
      <c r="A17" s="27">
        <v>321</v>
      </c>
      <c r="B17" s="27" t="s">
        <v>1300</v>
      </c>
      <c r="C17" s="98">
        <f>C18+C19+C20+C21</f>
        <v>582415.43</v>
      </c>
      <c r="D17" s="98">
        <f>D18+D19+D20+D21</f>
        <v>1005102</v>
      </c>
      <c r="E17" s="98">
        <f>E18+E19+E20+E21</f>
        <v>1016684.4600000001</v>
      </c>
      <c r="F17" s="58">
        <f t="shared" si="0"/>
        <v>101.15236662547682</v>
      </c>
      <c r="G17" s="58">
        <f t="shared" si="1"/>
        <v>174.5634486366544</v>
      </c>
    </row>
    <row r="18" spans="1:7" ht="15">
      <c r="A18" s="46">
        <v>3211</v>
      </c>
      <c r="B18" s="46" t="s">
        <v>1264</v>
      </c>
      <c r="C18" s="99">
        <f>29513.13+75499.33+76410.47+30126.58+38634</f>
        <v>250183.51</v>
      </c>
      <c r="D18" s="99">
        <f>29370+110000+70000+33700+291336+17000</f>
        <v>551406</v>
      </c>
      <c r="E18" s="99">
        <f>(29368.33+97399.95+76276.85+36857.4+319385.6+14577.09)-2144.99-1200.52</f>
        <v>570519.71</v>
      </c>
      <c r="F18" s="58">
        <f t="shared" si="0"/>
        <v>103.46635872660073</v>
      </c>
      <c r="G18" s="58">
        <f t="shared" si="1"/>
        <v>228.04049315640347</v>
      </c>
    </row>
    <row r="19" spans="1:7" ht="15">
      <c r="A19" s="46">
        <v>3212</v>
      </c>
      <c r="B19" s="46" t="s">
        <v>1265</v>
      </c>
      <c r="C19" s="99">
        <f>175530.96+11995.23+13650.48+1112.79+528.1</f>
        <v>202817.56000000003</v>
      </c>
      <c r="D19" s="99">
        <f>247316+2000+2600+21745+2700</f>
        <v>276361</v>
      </c>
      <c r="E19" s="99">
        <f>246245.47+1406.01+2718.14+21794.29+2690.7</f>
        <v>274854.61000000004</v>
      </c>
      <c r="F19" s="58">
        <f t="shared" si="0"/>
        <v>99.45491947127128</v>
      </c>
      <c r="G19" s="58">
        <f t="shared" si="1"/>
        <v>135.51815237299968</v>
      </c>
    </row>
    <row r="20" spans="1:7" ht="15">
      <c r="A20" s="46">
        <v>3213</v>
      </c>
      <c r="B20" s="46" t="s">
        <v>1266</v>
      </c>
      <c r="C20" s="99">
        <f>21633+5600.83+79365.73+1428.54+14606.26</f>
        <v>122634.35999999999</v>
      </c>
      <c r="D20" s="99">
        <f>14950+6000+66500+84155+3230</f>
        <v>174835</v>
      </c>
      <c r="E20" s="99">
        <f>(17644.49+7751.58+66891.59+78000.32+3228.96)-4597.8</f>
        <v>168919.14</v>
      </c>
      <c r="F20" s="58">
        <f t="shared" si="0"/>
        <v>96.61631824291476</v>
      </c>
      <c r="G20" s="58">
        <f t="shared" si="1"/>
        <v>137.74209772856486</v>
      </c>
    </row>
    <row r="21" spans="1:7" ht="15">
      <c r="A21" s="46">
        <v>3214</v>
      </c>
      <c r="B21" s="46" t="s">
        <v>1395</v>
      </c>
      <c r="C21" s="99">
        <f>6696+84</f>
        <v>6780</v>
      </c>
      <c r="D21" s="99">
        <f>2000+500</f>
        <v>2500</v>
      </c>
      <c r="E21" s="99">
        <f>1620+771</f>
        <v>2391</v>
      </c>
      <c r="F21" s="58">
        <f t="shared" si="0"/>
        <v>95.64</v>
      </c>
      <c r="G21" s="58">
        <f t="shared" si="1"/>
        <v>35.26548672566372</v>
      </c>
    </row>
    <row r="22" spans="1:7" ht="15">
      <c r="A22" s="27">
        <v>322</v>
      </c>
      <c r="B22" s="27" t="s">
        <v>1314</v>
      </c>
      <c r="C22" s="98">
        <f>C23+C24+C25+C26+C27+C28</f>
        <v>1436272.59</v>
      </c>
      <c r="D22" s="98">
        <f>D23+D24+D25+D26+D27+D28</f>
        <v>1784885</v>
      </c>
      <c r="E22" s="98">
        <f>E23+E24+E25+E26+E27+E28</f>
        <v>1613258.8599999999</v>
      </c>
      <c r="F22" s="58">
        <f>E22/D22*100</f>
        <v>90.38447070819689</v>
      </c>
      <c r="G22" s="58">
        <f t="shared" si="1"/>
        <v>112.32261001374397</v>
      </c>
    </row>
    <row r="23" spans="1:7" ht="15">
      <c r="A23" s="46">
        <v>3221</v>
      </c>
      <c r="B23" s="46" t="s">
        <v>1267</v>
      </c>
      <c r="C23" s="99">
        <f>86050.49+144.48+82456.49+203.82+305.4</f>
        <v>169160.68000000002</v>
      </c>
      <c r="D23" s="99">
        <f>111130+4000+106850+3000</f>
        <v>224980</v>
      </c>
      <c r="E23" s="99">
        <f>(78495.71+3650.9+107991.54+365.5+2561.35)-201.25</f>
        <v>192863.75</v>
      </c>
      <c r="F23" s="58">
        <f t="shared" si="0"/>
        <v>85.72484220819628</v>
      </c>
      <c r="G23" s="58">
        <f t="shared" si="1"/>
        <v>114.01216287378367</v>
      </c>
    </row>
    <row r="24" spans="1:7" ht="15">
      <c r="A24" s="46">
        <v>3222</v>
      </c>
      <c r="B24" s="46" t="s">
        <v>1268</v>
      </c>
      <c r="C24" s="99">
        <f>19169.54+38663.07+116893.46+3232.09</f>
        <v>177958.16</v>
      </c>
      <c r="D24" s="99">
        <f>12000+5000+39960+43230</f>
        <v>100190</v>
      </c>
      <c r="E24" s="99">
        <f>(8381.07+2519.01+38546.36+43231.97)</f>
        <v>92678.41</v>
      </c>
      <c r="F24" s="58">
        <f t="shared" si="0"/>
        <v>92.50265495558439</v>
      </c>
      <c r="G24" s="58">
        <f t="shared" si="1"/>
        <v>52.07876390720156</v>
      </c>
    </row>
    <row r="25" spans="1:7" ht="15">
      <c r="A25" s="46">
        <v>3223</v>
      </c>
      <c r="B25" s="46" t="s">
        <v>1269</v>
      </c>
      <c r="C25" s="99">
        <f>669850.1+1510.53+300000</f>
        <v>971360.63</v>
      </c>
      <c r="D25" s="99">
        <f>1065000+10000+250000</f>
        <v>1325000</v>
      </c>
      <c r="E25" s="99">
        <f>(842362.99+9973.54+428708.85)-76853.43</f>
        <v>1204191.95</v>
      </c>
      <c r="F25" s="58">
        <f t="shared" si="0"/>
        <v>90.88241132075471</v>
      </c>
      <c r="G25" s="58">
        <f t="shared" si="1"/>
        <v>123.96960642722364</v>
      </c>
    </row>
    <row r="26" spans="1:7" ht="15">
      <c r="A26" s="46">
        <v>3224</v>
      </c>
      <c r="B26" s="46" t="s">
        <v>1270</v>
      </c>
      <c r="C26" s="99">
        <f>13443.27+8081.27+19511.11+238.8</f>
        <v>41274.450000000004</v>
      </c>
      <c r="D26" s="99">
        <f>20510+15000+25000+3000+12000</f>
        <v>75510</v>
      </c>
      <c r="E26" s="99">
        <f>(18578.89+12734.4+21076.92+4902.6+12054)-212.85</f>
        <v>69133.95999999999</v>
      </c>
      <c r="F26" s="58">
        <f t="shared" si="0"/>
        <v>91.55603231360084</v>
      </c>
      <c r="G26" s="58">
        <f t="shared" si="1"/>
        <v>167.4981980377691</v>
      </c>
    </row>
    <row r="27" spans="1:7" ht="15">
      <c r="A27" s="46">
        <v>3225</v>
      </c>
      <c r="B27" s="46" t="s">
        <v>1411</v>
      </c>
      <c r="C27" s="99">
        <f>22103.16+9846.85+12720.55+11494.04</f>
        <v>56164.6</v>
      </c>
      <c r="D27" s="99">
        <f>8705+12700+13000+17400</f>
        <v>51805</v>
      </c>
      <c r="E27" s="99">
        <f>9140.42+9298.38+11518.04+17117.09</f>
        <v>47073.93</v>
      </c>
      <c r="F27" s="58">
        <f t="shared" si="0"/>
        <v>90.867541743075</v>
      </c>
      <c r="G27" s="58">
        <f t="shared" si="1"/>
        <v>83.81423530123956</v>
      </c>
    </row>
    <row r="28" spans="1:7" s="117" customFormat="1" ht="15">
      <c r="A28" s="46">
        <v>3227</v>
      </c>
      <c r="B28" s="46" t="s">
        <v>1463</v>
      </c>
      <c r="C28" s="99">
        <f>16678.73+3675.34</f>
        <v>20354.07</v>
      </c>
      <c r="D28" s="99">
        <f>1200+5500+700</f>
        <v>7400</v>
      </c>
      <c r="E28" s="99">
        <f>1124.25+5500+692.61</f>
        <v>7316.86</v>
      </c>
      <c r="F28" s="58">
        <f t="shared" si="0"/>
        <v>98.87648648648648</v>
      </c>
      <c r="G28" s="58">
        <f t="shared" si="1"/>
        <v>35.94789641580283</v>
      </c>
    </row>
    <row r="29" spans="1:7" ht="15">
      <c r="A29" s="27">
        <v>323</v>
      </c>
      <c r="B29" s="27" t="s">
        <v>1315</v>
      </c>
      <c r="C29" s="98">
        <f>C30+C31+C32+C33+C34+C35+C36+C37+C38</f>
        <v>2193840.29</v>
      </c>
      <c r="D29" s="98">
        <f>D30+D31+D32+D33+D34+D35+D36+D37+D38</f>
        <v>2487092</v>
      </c>
      <c r="E29" s="98">
        <f>E30+E31+E32+E33+E34+E35+E36+E37+E38</f>
        <v>2296285.6500000004</v>
      </c>
      <c r="F29" s="58">
        <f t="shared" si="0"/>
        <v>92.32813462469423</v>
      </c>
      <c r="G29" s="58">
        <f t="shared" si="1"/>
        <v>104.66968176612347</v>
      </c>
    </row>
    <row r="30" spans="1:7" ht="15">
      <c r="A30" s="46">
        <v>3231</v>
      </c>
      <c r="B30" s="46" t="s">
        <v>1271</v>
      </c>
      <c r="C30" s="99">
        <f>44225.46+11315+36217.14</f>
        <v>91757.6</v>
      </c>
      <c r="D30" s="99">
        <f>44000+12000+100000+3100</f>
        <v>159100</v>
      </c>
      <c r="E30" s="99">
        <f>(29414.13+10867.51+94819.24+3166.67)-(3095.79+182.75+1718.11)</f>
        <v>133270.90000000002</v>
      </c>
      <c r="F30" s="58">
        <f t="shared" si="0"/>
        <v>83.76549340037714</v>
      </c>
      <c r="G30" s="58">
        <f t="shared" si="1"/>
        <v>145.2423559465374</v>
      </c>
    </row>
    <row r="31" spans="1:7" ht="15">
      <c r="A31" s="46">
        <v>3232</v>
      </c>
      <c r="B31" s="46" t="s">
        <v>1272</v>
      </c>
      <c r="C31" s="99">
        <f>94598.97+96158.4+160279.63+4373.64+29032.99</f>
        <v>384443.63</v>
      </c>
      <c r="D31" s="99">
        <f>75000+10000+120000+12000+29100</f>
        <v>246100</v>
      </c>
      <c r="E31" s="99">
        <f>(55177.89+6350.29+99533.28+11711.26+29112.5)-(2875+7024.04+922.5+287.88+9025.5)</f>
        <v>181750.3</v>
      </c>
      <c r="F31" s="58">
        <f t="shared" si="0"/>
        <v>73.85221454693213</v>
      </c>
      <c r="G31" s="58">
        <f t="shared" si="1"/>
        <v>47.27618974984707</v>
      </c>
    </row>
    <row r="32" spans="1:7" ht="15">
      <c r="A32" s="46">
        <v>3233</v>
      </c>
      <c r="B32" s="46" t="s">
        <v>1273</v>
      </c>
      <c r="C32" s="99">
        <f>86416.01+20792.33+131904.6+1627.96</f>
        <v>240740.9</v>
      </c>
      <c r="D32" s="99">
        <f>43845+22500+72000+17180+130000</f>
        <v>285525</v>
      </c>
      <c r="E32" s="99">
        <f>(55195.66+22535.61+24356.85+86744.4+17159.19+127664.26)</f>
        <v>333655.97</v>
      </c>
      <c r="F32" s="58">
        <f t="shared" si="0"/>
        <v>116.85700726731459</v>
      </c>
      <c r="G32" s="58">
        <f t="shared" si="1"/>
        <v>138.59546508300002</v>
      </c>
    </row>
    <row r="33" spans="1:7" ht="15">
      <c r="A33" s="46">
        <v>3234</v>
      </c>
      <c r="B33" s="46" t="s">
        <v>1274</v>
      </c>
      <c r="C33" s="99">
        <f>125455.95+46178.43</f>
        <v>171634.38</v>
      </c>
      <c r="D33" s="99">
        <f>100000+63510</f>
        <v>163510</v>
      </c>
      <c r="E33" s="99">
        <f>105470.25+56954.57</f>
        <v>162424.82</v>
      </c>
      <c r="F33" s="58">
        <f t="shared" si="0"/>
        <v>99.33632193749618</v>
      </c>
      <c r="G33" s="58">
        <f t="shared" si="1"/>
        <v>94.63419857956198</v>
      </c>
    </row>
    <row r="34" spans="1:7" ht="15">
      <c r="A34" s="46">
        <v>3235</v>
      </c>
      <c r="B34" s="46" t="s">
        <v>1275</v>
      </c>
      <c r="C34" s="99">
        <f>14285.79+1870.22+99055.24+4757.81</f>
        <v>119969.06</v>
      </c>
      <c r="D34" s="99">
        <f>5705+5600+80000+19250</f>
        <v>110555</v>
      </c>
      <c r="E34" s="99">
        <f>5141.29+5966.45+64291.85+20208.51</f>
        <v>95608.09999999999</v>
      </c>
      <c r="F34" s="58">
        <f t="shared" si="0"/>
        <v>86.48012301569354</v>
      </c>
      <c r="G34" s="58">
        <f t="shared" si="1"/>
        <v>79.69396442716146</v>
      </c>
    </row>
    <row r="35" spans="1:7" ht="15">
      <c r="A35" s="46">
        <v>3236</v>
      </c>
      <c r="B35" s="46" t="s">
        <v>1276</v>
      </c>
      <c r="C35" s="99">
        <f>15000+6208.5</f>
        <v>21208.5</v>
      </c>
      <c r="D35" s="99">
        <v>40590</v>
      </c>
      <c r="E35" s="99">
        <f>38000+3790</f>
        <v>41790</v>
      </c>
      <c r="F35" s="58">
        <f t="shared" si="0"/>
        <v>102.95639320029564</v>
      </c>
      <c r="G35" s="58">
        <f t="shared" si="1"/>
        <v>197.0436381639437</v>
      </c>
    </row>
    <row r="36" spans="1:7" ht="15">
      <c r="A36" s="46">
        <v>3237</v>
      </c>
      <c r="B36" s="46" t="s">
        <v>1277</v>
      </c>
      <c r="C36" s="99">
        <f>77878.46+475878.09+221294.51+6041.6</f>
        <v>781092.66</v>
      </c>
      <c r="D36" s="99">
        <f>36265+550000+230000+168792</f>
        <v>985057</v>
      </c>
      <c r="E36" s="99">
        <f>(36313.64+473110.1+217106.51+166504.79)-1535.47</f>
        <v>891499.5700000001</v>
      </c>
      <c r="F36" s="58">
        <f t="shared" si="0"/>
        <v>90.50233336751073</v>
      </c>
      <c r="G36" s="58">
        <f t="shared" si="1"/>
        <v>114.13493118729346</v>
      </c>
    </row>
    <row r="37" spans="1:7" ht="15">
      <c r="A37" s="46">
        <v>3238</v>
      </c>
      <c r="B37" s="46" t="s">
        <v>1278</v>
      </c>
      <c r="C37" s="99">
        <f>22561.21+19414.43</f>
        <v>41975.64</v>
      </c>
      <c r="D37" s="99">
        <f>35300+15000+4850</f>
        <v>55150</v>
      </c>
      <c r="E37" s="99">
        <f>(34416.75+10865.8+4811.25)-44.58</f>
        <v>50049.22</v>
      </c>
      <c r="F37" s="58">
        <f t="shared" si="0"/>
        <v>90.75107887579328</v>
      </c>
      <c r="G37" s="58">
        <f t="shared" si="1"/>
        <v>119.23396522363925</v>
      </c>
    </row>
    <row r="38" spans="1:7" ht="15">
      <c r="A38" s="46">
        <v>3239</v>
      </c>
      <c r="B38" s="46" t="s">
        <v>1279</v>
      </c>
      <c r="C38" s="99">
        <f>102345.3+136140.9+98981.72+3550</f>
        <v>341017.92000000004</v>
      </c>
      <c r="D38" s="99">
        <f>109905+168375+150000+7600+5625</f>
        <v>441505</v>
      </c>
      <c r="E38" s="99">
        <f>(102989.76+151697.38+155584.68+648+7599+5625)-(8699.59+9207.46)</f>
        <v>406236.77</v>
      </c>
      <c r="F38" s="58">
        <f t="shared" si="0"/>
        <v>92.01181640072026</v>
      </c>
      <c r="G38" s="58">
        <f t="shared" si="1"/>
        <v>119.12475743210209</v>
      </c>
    </row>
    <row r="39" spans="1:7" ht="15">
      <c r="A39" s="50">
        <v>324</v>
      </c>
      <c r="B39" s="43" t="s">
        <v>1321</v>
      </c>
      <c r="C39" s="98">
        <f>C40</f>
        <v>18056</v>
      </c>
      <c r="D39" s="98">
        <f>D40</f>
        <v>59050</v>
      </c>
      <c r="E39" s="98">
        <f>E40</f>
        <v>53586.28</v>
      </c>
      <c r="F39" s="58">
        <f t="shared" si="0"/>
        <v>90.74729889923793</v>
      </c>
      <c r="G39" s="58">
        <f t="shared" si="1"/>
        <v>296.77824545857334</v>
      </c>
    </row>
    <row r="40" spans="1:7" ht="15">
      <c r="A40" s="46">
        <v>3241</v>
      </c>
      <c r="B40" s="46" t="s">
        <v>1321</v>
      </c>
      <c r="C40" s="99">
        <f>5756+3940+5986.3+2373.7</f>
        <v>18056</v>
      </c>
      <c r="D40" s="99">
        <f>950+7100+11000+40000</f>
        <v>59050</v>
      </c>
      <c r="E40" s="99">
        <f>944+7065.16+10959.42+34617.7</f>
        <v>53586.28</v>
      </c>
      <c r="F40" s="58">
        <f t="shared" si="0"/>
        <v>90.74729889923793</v>
      </c>
      <c r="G40" s="58">
        <f t="shared" si="1"/>
        <v>296.77824545857334</v>
      </c>
    </row>
    <row r="41" spans="1:7" ht="15">
      <c r="A41" s="27">
        <v>329</v>
      </c>
      <c r="B41" s="27" t="s">
        <v>1283</v>
      </c>
      <c r="C41" s="98">
        <f>SUM(C42:C47)</f>
        <v>327305.24</v>
      </c>
      <c r="D41" s="98">
        <f>SUM(D42:D47)</f>
        <v>500592</v>
      </c>
      <c r="E41" s="98">
        <f>SUM(E42:E47)</f>
        <v>499492.03</v>
      </c>
      <c r="F41" s="58">
        <f t="shared" si="0"/>
        <v>99.7802661648608</v>
      </c>
      <c r="G41" s="58">
        <f t="shared" si="1"/>
        <v>152.6074040244513</v>
      </c>
    </row>
    <row r="42" spans="1:7" ht="15">
      <c r="A42" s="46">
        <v>3292</v>
      </c>
      <c r="B42" s="46" t="s">
        <v>1280</v>
      </c>
      <c r="C42" s="99">
        <f>73.57+29637.68+80009.88</f>
        <v>109721.13</v>
      </c>
      <c r="D42" s="99">
        <f>30000+78300</f>
        <v>108300</v>
      </c>
      <c r="E42" s="99">
        <f>28264.39+76266.19</f>
        <v>104530.58</v>
      </c>
      <c r="F42" s="58">
        <f t="shared" si="0"/>
        <v>96.5194644506002</v>
      </c>
      <c r="G42" s="58">
        <f t="shared" si="1"/>
        <v>95.2693250607244</v>
      </c>
    </row>
    <row r="43" spans="1:7" ht="15">
      <c r="A43" s="46">
        <v>3293</v>
      </c>
      <c r="B43" s="46" t="s">
        <v>1289</v>
      </c>
      <c r="C43" s="99">
        <f>7419.5+1006.06+6019</f>
        <v>14444.56</v>
      </c>
      <c r="D43" s="99">
        <f>1322+20000+55000+7320+200</f>
        <v>83842</v>
      </c>
      <c r="E43" s="99">
        <f>(1322+16038+58813.89+2177+7982+195)-(2950+103.01)</f>
        <v>83474.88</v>
      </c>
      <c r="F43" s="58">
        <f t="shared" si="0"/>
        <v>99.56212876601226</v>
      </c>
      <c r="G43" s="58">
        <f t="shared" si="1"/>
        <v>577.8983921974778</v>
      </c>
    </row>
    <row r="44" spans="1:7" ht="15">
      <c r="A44" s="46">
        <v>3294</v>
      </c>
      <c r="B44" s="46" t="s">
        <v>1281</v>
      </c>
      <c r="C44" s="99">
        <f>6408.83+11788+20606.08+5311.94</f>
        <v>44114.850000000006</v>
      </c>
      <c r="D44" s="99">
        <f>6000+11500+26100+4220</f>
        <v>47820</v>
      </c>
      <c r="E44" s="99">
        <f>6000+11500+24953.04+4219.49</f>
        <v>46672.53</v>
      </c>
      <c r="F44" s="58">
        <f t="shared" si="0"/>
        <v>97.6004391468005</v>
      </c>
      <c r="G44" s="58">
        <f t="shared" si="1"/>
        <v>105.7977755789717</v>
      </c>
    </row>
    <row r="45" spans="1:7" ht="15">
      <c r="A45" s="46">
        <v>3295</v>
      </c>
      <c r="B45" s="46" t="s">
        <v>1282</v>
      </c>
      <c r="C45" s="99">
        <f>20325+2550</f>
        <v>22875</v>
      </c>
      <c r="D45" s="99">
        <f>22325+10400</f>
        <v>32725</v>
      </c>
      <c r="E45" s="99">
        <f>22325+10225</f>
        <v>32550</v>
      </c>
      <c r="F45" s="58">
        <f t="shared" si="0"/>
        <v>99.46524064171123</v>
      </c>
      <c r="G45" s="58">
        <f t="shared" si="1"/>
        <v>142.29508196721312</v>
      </c>
    </row>
    <row r="46" spans="1:7" ht="15">
      <c r="A46" s="46">
        <v>3296</v>
      </c>
      <c r="B46" s="46" t="s">
        <v>1431</v>
      </c>
      <c r="C46" s="99">
        <v>0</v>
      </c>
      <c r="D46" s="99">
        <f>16875</f>
        <v>16875</v>
      </c>
      <c r="E46" s="99">
        <f>14462.7</f>
        <v>14462.7</v>
      </c>
      <c r="F46" s="58">
        <f t="shared" si="0"/>
        <v>85.7048888888889</v>
      </c>
      <c r="G46" s="58" t="e">
        <f t="shared" si="1"/>
        <v>#DIV/0!</v>
      </c>
    </row>
    <row r="47" spans="1:7" ht="15">
      <c r="A47" s="46">
        <v>3299</v>
      </c>
      <c r="B47" s="46" t="s">
        <v>1283</v>
      </c>
      <c r="C47" s="99">
        <f>6862.95+699.95+107082.16+21504.64</f>
        <v>136149.7</v>
      </c>
      <c r="D47" s="99">
        <f>2900+62825+90000+26030+29275</f>
        <v>211030</v>
      </c>
      <c r="E47" s="99">
        <f>(9081.26+36367.77+122361.09+26006.96+24046.76)-62.5</f>
        <v>217801.34</v>
      </c>
      <c r="F47" s="58">
        <f t="shared" si="0"/>
        <v>103.20870966213333</v>
      </c>
      <c r="G47" s="58">
        <f t="shared" si="1"/>
        <v>159.97195733813587</v>
      </c>
    </row>
    <row r="48" spans="1:7" ht="15">
      <c r="A48" s="27">
        <v>34</v>
      </c>
      <c r="B48" s="27" t="s">
        <v>1316</v>
      </c>
      <c r="C48" s="98">
        <f>C49</f>
        <v>23116.1</v>
      </c>
      <c r="D48" s="98">
        <f>D49</f>
        <v>50495</v>
      </c>
      <c r="E48" s="98">
        <f>E49</f>
        <v>42046.08</v>
      </c>
      <c r="F48" s="58">
        <f t="shared" si="0"/>
        <v>83.2678086939301</v>
      </c>
      <c r="G48" s="58">
        <f t="shared" si="1"/>
        <v>181.89088989924772</v>
      </c>
    </row>
    <row r="49" spans="1:7" ht="15">
      <c r="A49" s="27">
        <v>343</v>
      </c>
      <c r="B49" s="27" t="s">
        <v>1317</v>
      </c>
      <c r="C49" s="98">
        <f>C50+C51+C52+C53</f>
        <v>23116.1</v>
      </c>
      <c r="D49" s="98">
        <f>D50+D51+D52+D53</f>
        <v>50495</v>
      </c>
      <c r="E49" s="98">
        <f>E50+E51+E52+E53</f>
        <v>42046.08</v>
      </c>
      <c r="F49" s="58">
        <f t="shared" si="0"/>
        <v>83.2678086939301</v>
      </c>
      <c r="G49" s="58">
        <f t="shared" si="1"/>
        <v>181.89088989924772</v>
      </c>
    </row>
    <row r="50" spans="1:7" ht="15">
      <c r="A50" s="46">
        <v>3431</v>
      </c>
      <c r="B50" s="46" t="s">
        <v>1284</v>
      </c>
      <c r="C50" s="99">
        <f>7691.3+3000+5823.39</f>
        <v>16514.69</v>
      </c>
      <c r="D50" s="99">
        <f>15900+8400</f>
        <v>24300</v>
      </c>
      <c r="E50" s="99">
        <f>(10498.28+8365.41)-1953.73</f>
        <v>16909.960000000003</v>
      </c>
      <c r="F50" s="58">
        <f t="shared" si="0"/>
        <v>69.58831275720165</v>
      </c>
      <c r="G50" s="58">
        <f t="shared" si="1"/>
        <v>102.3934448663584</v>
      </c>
    </row>
    <row r="51" spans="1:7" ht="30">
      <c r="A51" s="46">
        <v>3432</v>
      </c>
      <c r="B51" s="46" t="s">
        <v>1290</v>
      </c>
      <c r="C51" s="99">
        <f>911.16+5524.79+82.78</f>
        <v>6518.73</v>
      </c>
      <c r="D51" s="99">
        <f>200+7500</f>
        <v>7700</v>
      </c>
      <c r="E51" s="99">
        <f>256.71+7754.51</f>
        <v>8011.22</v>
      </c>
      <c r="F51" s="58">
        <f t="shared" si="0"/>
        <v>104.04181818181819</v>
      </c>
      <c r="G51" s="58">
        <f t="shared" si="1"/>
        <v>122.89541060912173</v>
      </c>
    </row>
    <row r="52" spans="1:7" ht="15">
      <c r="A52" s="46">
        <v>3433</v>
      </c>
      <c r="B52" s="46" t="s">
        <v>1364</v>
      </c>
      <c r="C52" s="99">
        <f>0.12+82.56</f>
        <v>82.68</v>
      </c>
      <c r="D52" s="99">
        <f>18455+40</f>
        <v>18495</v>
      </c>
      <c r="E52" s="99">
        <f>16884.51+240.39</f>
        <v>17124.899999999998</v>
      </c>
      <c r="F52" s="58">
        <f t="shared" si="0"/>
        <v>92.5920519059205</v>
      </c>
      <c r="G52" s="58">
        <f t="shared" si="1"/>
        <v>20712.264150943392</v>
      </c>
    </row>
    <row r="53" spans="1:7" ht="15">
      <c r="A53" s="46">
        <v>3434</v>
      </c>
      <c r="B53" s="46" t="s">
        <v>1410</v>
      </c>
      <c r="C53" s="99">
        <v>0</v>
      </c>
      <c r="D53" s="99">
        <v>0</v>
      </c>
      <c r="E53" s="99">
        <v>0</v>
      </c>
      <c r="F53" s="58" t="e">
        <f t="shared" si="0"/>
        <v>#DIV/0!</v>
      </c>
      <c r="G53" s="58" t="e">
        <f t="shared" si="1"/>
        <v>#DIV/0!</v>
      </c>
    </row>
    <row r="54" spans="1:7" ht="15">
      <c r="A54" s="27">
        <v>36</v>
      </c>
      <c r="B54" s="27" t="s">
        <v>1352</v>
      </c>
      <c r="C54" s="98">
        <f aca="true" t="shared" si="2" ref="C54:E55">C55</f>
        <v>101448.48</v>
      </c>
      <c r="D54" s="98">
        <f t="shared" si="2"/>
        <v>99410</v>
      </c>
      <c r="E54" s="98">
        <f t="shared" si="2"/>
        <v>116733.3</v>
      </c>
      <c r="F54" s="58">
        <f t="shared" si="0"/>
        <v>117.4261140730309</v>
      </c>
      <c r="G54" s="58">
        <f t="shared" si="1"/>
        <v>115.06658355058647</v>
      </c>
    </row>
    <row r="55" spans="1:7" ht="15">
      <c r="A55" s="27">
        <v>369</v>
      </c>
      <c r="B55" s="27" t="s">
        <v>1291</v>
      </c>
      <c r="C55" s="98">
        <f t="shared" si="2"/>
        <v>101448.48</v>
      </c>
      <c r="D55" s="98">
        <f t="shared" si="2"/>
        <v>99410</v>
      </c>
      <c r="E55" s="98">
        <f t="shared" si="2"/>
        <v>116733.3</v>
      </c>
      <c r="F55" s="58">
        <f t="shared" si="0"/>
        <v>117.4261140730309</v>
      </c>
      <c r="G55" s="58">
        <f t="shared" si="1"/>
        <v>115.06658355058647</v>
      </c>
    </row>
    <row r="56" spans="1:7" ht="15">
      <c r="A56" s="46">
        <v>3691</v>
      </c>
      <c r="B56" s="46" t="s">
        <v>1291</v>
      </c>
      <c r="C56" s="99">
        <f>27369.75+74078.73</f>
        <v>101448.48</v>
      </c>
      <c r="D56" s="99">
        <f>27220+72190</f>
        <v>99410</v>
      </c>
      <c r="E56" s="99">
        <f>39258.05+77475.25</f>
        <v>116733.3</v>
      </c>
      <c r="F56" s="58">
        <f>E56/D56*100</f>
        <v>117.4261140730309</v>
      </c>
      <c r="G56" s="58">
        <f t="shared" si="1"/>
        <v>115.06658355058647</v>
      </c>
    </row>
    <row r="57" spans="1:7" ht="30">
      <c r="A57" s="27">
        <v>37</v>
      </c>
      <c r="B57" s="27" t="s">
        <v>1323</v>
      </c>
      <c r="C57" s="98">
        <f aca="true" t="shared" si="3" ref="C57:E58">C58</f>
        <v>67500</v>
      </c>
      <c r="D57" s="98">
        <f t="shared" si="3"/>
        <v>95600</v>
      </c>
      <c r="E57" s="98">
        <f>E58</f>
        <v>95600</v>
      </c>
      <c r="F57" s="58">
        <f>E57/D57*100</f>
        <v>100</v>
      </c>
      <c r="G57" s="58">
        <f t="shared" si="1"/>
        <v>141.62962962962965</v>
      </c>
    </row>
    <row r="58" spans="1:7" ht="30">
      <c r="A58" s="27">
        <v>372</v>
      </c>
      <c r="B58" s="27" t="s">
        <v>1323</v>
      </c>
      <c r="C58" s="98">
        <f t="shared" si="3"/>
        <v>67500</v>
      </c>
      <c r="D58" s="98">
        <f t="shared" si="3"/>
        <v>95600</v>
      </c>
      <c r="E58" s="98">
        <f t="shared" si="3"/>
        <v>95600</v>
      </c>
      <c r="F58" s="58">
        <f t="shared" si="0"/>
        <v>100</v>
      </c>
      <c r="G58" s="58">
        <f t="shared" si="1"/>
        <v>141.62962962962965</v>
      </c>
    </row>
    <row r="59" spans="1:7" ht="15">
      <c r="A59" s="46">
        <v>3721</v>
      </c>
      <c r="B59" s="46" t="s">
        <v>1349</v>
      </c>
      <c r="C59" s="99">
        <f>37500+15000+15000</f>
        <v>67500</v>
      </c>
      <c r="D59" s="99">
        <f>40300+40000+15300</f>
        <v>95600</v>
      </c>
      <c r="E59" s="99">
        <f>40300+40000+15300</f>
        <v>95600</v>
      </c>
      <c r="F59" s="58">
        <f t="shared" si="0"/>
        <v>100</v>
      </c>
      <c r="G59" s="58">
        <f t="shared" si="1"/>
        <v>141.62962962962965</v>
      </c>
    </row>
    <row r="60" spans="1:7" ht="15">
      <c r="A60" s="27">
        <v>38</v>
      </c>
      <c r="B60" s="27" t="s">
        <v>1322</v>
      </c>
      <c r="C60" s="98">
        <f>C61</f>
        <v>14870</v>
      </c>
      <c r="D60" s="98">
        <f>D61</f>
        <v>9500</v>
      </c>
      <c r="E60" s="98">
        <f>E61</f>
        <v>9500</v>
      </c>
      <c r="F60" s="58">
        <f t="shared" si="0"/>
        <v>100</v>
      </c>
      <c r="G60" s="58">
        <f t="shared" si="1"/>
        <v>63.88702084734364</v>
      </c>
    </row>
    <row r="61" spans="1:7" ht="15">
      <c r="A61" s="27">
        <v>381</v>
      </c>
      <c r="B61" s="27" t="s">
        <v>1312</v>
      </c>
      <c r="C61" s="98">
        <f>C62+C63</f>
        <v>14870</v>
      </c>
      <c r="D61" s="98">
        <f>D62+D63</f>
        <v>9500</v>
      </c>
      <c r="E61" s="98">
        <f>E62+E63</f>
        <v>9500</v>
      </c>
      <c r="F61" s="58">
        <f t="shared" si="0"/>
        <v>100</v>
      </c>
      <c r="G61" s="58">
        <f t="shared" si="1"/>
        <v>63.88702084734364</v>
      </c>
    </row>
    <row r="62" spans="1:7" ht="15">
      <c r="A62" s="46">
        <v>3811</v>
      </c>
      <c r="B62" s="46" t="s">
        <v>1293</v>
      </c>
      <c r="C62" s="99">
        <v>7500</v>
      </c>
      <c r="D62" s="99">
        <v>9500</v>
      </c>
      <c r="E62" s="99">
        <v>9500</v>
      </c>
      <c r="F62" s="58">
        <f t="shared" si="0"/>
        <v>100</v>
      </c>
      <c r="G62" s="58">
        <f t="shared" si="1"/>
        <v>126.66666666666666</v>
      </c>
    </row>
    <row r="63" spans="1:7" s="117" customFormat="1" ht="15">
      <c r="A63" s="46">
        <v>3812</v>
      </c>
      <c r="B63" s="46" t="s">
        <v>1457</v>
      </c>
      <c r="C63" s="99">
        <v>7370</v>
      </c>
      <c r="D63" s="99"/>
      <c r="E63" s="99"/>
      <c r="F63" s="58" t="e">
        <f t="shared" si="0"/>
        <v>#DIV/0!</v>
      </c>
      <c r="G63" s="58">
        <f t="shared" si="1"/>
        <v>0</v>
      </c>
    </row>
    <row r="64" spans="1:9" ht="15">
      <c r="A64" s="27">
        <v>4</v>
      </c>
      <c r="B64" s="27" t="s">
        <v>1318</v>
      </c>
      <c r="C64" s="98">
        <f>C68+C65</f>
        <v>944225.86</v>
      </c>
      <c r="D64" s="98">
        <f>D68+D65</f>
        <v>585290</v>
      </c>
      <c r="E64" s="98">
        <f>E68+E65</f>
        <v>555351.5700000001</v>
      </c>
      <c r="F64" s="58">
        <f t="shared" si="0"/>
        <v>94.88485537084182</v>
      </c>
      <c r="G64" s="58">
        <f t="shared" si="1"/>
        <v>58.815543348918666</v>
      </c>
      <c r="I64" s="116"/>
    </row>
    <row r="65" spans="1:7" s="117" customFormat="1" ht="15">
      <c r="A65" s="27">
        <v>41</v>
      </c>
      <c r="B65" s="27" t="s">
        <v>1318</v>
      </c>
      <c r="C65" s="98">
        <f aca="true" t="shared" si="4" ref="C65:E66">C66</f>
        <v>189119.15000000002</v>
      </c>
      <c r="D65" s="98">
        <f t="shared" si="4"/>
        <v>54630</v>
      </c>
      <c r="E65" s="98">
        <f t="shared" si="4"/>
        <v>40393.67</v>
      </c>
      <c r="F65" s="58">
        <f t="shared" si="0"/>
        <v>73.94045396302398</v>
      </c>
      <c r="G65" s="58">
        <f t="shared" si="1"/>
        <v>21.358847054885764</v>
      </c>
    </row>
    <row r="66" spans="1:7" s="117" customFormat="1" ht="15">
      <c r="A66" s="27">
        <v>411</v>
      </c>
      <c r="B66" s="27" t="s">
        <v>1461</v>
      </c>
      <c r="C66" s="98">
        <f t="shared" si="4"/>
        <v>189119.15000000002</v>
      </c>
      <c r="D66" s="98">
        <f t="shared" si="4"/>
        <v>54630</v>
      </c>
      <c r="E66" s="98">
        <f t="shared" si="4"/>
        <v>40393.67</v>
      </c>
      <c r="F66" s="58">
        <f t="shared" si="0"/>
        <v>73.94045396302398</v>
      </c>
      <c r="G66" s="58">
        <f t="shared" si="1"/>
        <v>21.358847054885764</v>
      </c>
    </row>
    <row r="67" spans="1:7" s="117" customFormat="1" ht="15">
      <c r="A67" s="46">
        <v>4123</v>
      </c>
      <c r="B67" s="46" t="s">
        <v>1434</v>
      </c>
      <c r="C67" s="99">
        <f>9375+146623.39+33120.76</f>
        <v>189119.15000000002</v>
      </c>
      <c r="D67" s="99">
        <f>2780+34600+17250</f>
        <v>54630</v>
      </c>
      <c r="E67" s="99">
        <f>2776.19+20393.67+17223.81</f>
        <v>40393.67</v>
      </c>
      <c r="F67" s="58">
        <f t="shared" si="0"/>
        <v>73.94045396302398</v>
      </c>
      <c r="G67" s="58">
        <f t="shared" si="1"/>
        <v>21.358847054885764</v>
      </c>
    </row>
    <row r="68" spans="1:7" ht="15">
      <c r="A68" s="27">
        <v>42</v>
      </c>
      <c r="B68" s="27" t="s">
        <v>1319</v>
      </c>
      <c r="C68" s="98">
        <f>C69+C74+C76</f>
        <v>755106.71</v>
      </c>
      <c r="D68" s="98">
        <f>D69+D74+D76</f>
        <v>530660</v>
      </c>
      <c r="E68" s="98">
        <f>E69+E74+E76</f>
        <v>514957.9</v>
      </c>
      <c r="F68" s="58">
        <f aca="true" t="shared" si="5" ref="F68:F77">E68/D68*100</f>
        <v>97.04102438472846</v>
      </c>
      <c r="G68" s="58">
        <f aca="true" t="shared" si="6" ref="G68:G77">E68/C68*100</f>
        <v>68.19670560204663</v>
      </c>
    </row>
    <row r="69" spans="1:7" ht="15">
      <c r="A69" s="27">
        <v>422</v>
      </c>
      <c r="B69" s="27" t="s">
        <v>1320</v>
      </c>
      <c r="C69" s="98">
        <f>SUM(C70:C73)</f>
        <v>708704.23</v>
      </c>
      <c r="D69" s="98">
        <f>SUM(D70:D73)</f>
        <v>483430</v>
      </c>
      <c r="E69" s="98">
        <f>SUM(E70:E73)</f>
        <v>463349.88</v>
      </c>
      <c r="F69" s="58">
        <f t="shared" si="5"/>
        <v>95.84632314916327</v>
      </c>
      <c r="G69" s="58">
        <f t="shared" si="6"/>
        <v>65.37986657706276</v>
      </c>
    </row>
    <row r="70" spans="1:7" ht="15">
      <c r="A70" s="46">
        <v>4221</v>
      </c>
      <c r="B70" s="46" t="s">
        <v>1285</v>
      </c>
      <c r="C70" s="99">
        <f>57329.24+58347.09+134620.09+44910+6712.5+22603.98</f>
        <v>324522.89999999997</v>
      </c>
      <c r="D70" s="99">
        <f>65635+20500+175000+13490+12800</f>
        <v>287425</v>
      </c>
      <c r="E70" s="99">
        <f>65633.99+20344.88+173042.48+13490+12789</f>
        <v>285300.35000000003</v>
      </c>
      <c r="F70" s="58">
        <f t="shared" si="5"/>
        <v>99.26079846916588</v>
      </c>
      <c r="G70" s="58">
        <f t="shared" si="6"/>
        <v>87.91378050670694</v>
      </c>
    </row>
    <row r="71" spans="1:7" ht="15">
      <c r="A71" s="46">
        <v>4222</v>
      </c>
      <c r="B71" s="46" t="s">
        <v>1292</v>
      </c>
      <c r="C71" s="99">
        <v>0</v>
      </c>
      <c r="D71" s="99">
        <f>22650</f>
        <v>22650</v>
      </c>
      <c r="E71" s="99">
        <f>22650</f>
        <v>22650</v>
      </c>
      <c r="F71" s="58">
        <f t="shared" si="5"/>
        <v>100</v>
      </c>
      <c r="G71" s="58" t="e">
        <f t="shared" si="6"/>
        <v>#DIV/0!</v>
      </c>
    </row>
    <row r="72" spans="1:7" ht="15">
      <c r="A72" s="46">
        <v>4224</v>
      </c>
      <c r="B72" s="46" t="s">
        <v>1440</v>
      </c>
      <c r="C72" s="99">
        <f>3662.5+70608.86</f>
        <v>74271.36</v>
      </c>
      <c r="D72" s="99">
        <f>17670+16700</f>
        <v>34370</v>
      </c>
      <c r="E72" s="99">
        <f>16688.36</f>
        <v>16688.36</v>
      </c>
      <c r="F72" s="58">
        <f t="shared" si="5"/>
        <v>48.55501891184172</v>
      </c>
      <c r="G72" s="58">
        <f t="shared" si="6"/>
        <v>22.46944178752079</v>
      </c>
    </row>
    <row r="73" spans="1:7" ht="15">
      <c r="A73" s="46">
        <v>4225</v>
      </c>
      <c r="B73" s="46" t="s">
        <v>1294</v>
      </c>
      <c r="C73" s="99">
        <f>44543.71+14845+221564.89+28956.37</f>
        <v>309909.97000000003</v>
      </c>
      <c r="D73" s="99">
        <f>29085+5500+104400</f>
        <v>138985</v>
      </c>
      <c r="E73" s="99">
        <f>29084.28+5303.64+104323.25</f>
        <v>138711.16999999998</v>
      </c>
      <c r="F73" s="58">
        <f t="shared" si="5"/>
        <v>99.8029787387128</v>
      </c>
      <c r="G73" s="58">
        <f t="shared" si="6"/>
        <v>44.758537455248685</v>
      </c>
    </row>
    <row r="74" spans="1:7" s="117" customFormat="1" ht="15">
      <c r="A74" s="27">
        <v>424</v>
      </c>
      <c r="B74" s="27" t="s">
        <v>1462</v>
      </c>
      <c r="C74" s="98">
        <f>C75</f>
        <v>43544.98</v>
      </c>
      <c r="D74" s="98">
        <f>D75</f>
        <v>39730</v>
      </c>
      <c r="E74" s="98">
        <f>E75</f>
        <v>44164.62</v>
      </c>
      <c r="F74" s="58">
        <f t="shared" si="5"/>
        <v>111.16189277623963</v>
      </c>
      <c r="G74" s="58">
        <f t="shared" si="6"/>
        <v>101.42298836743065</v>
      </c>
    </row>
    <row r="75" spans="1:7" s="117" customFormat="1" ht="15">
      <c r="A75" s="46">
        <v>4241</v>
      </c>
      <c r="B75" s="46" t="s">
        <v>1462</v>
      </c>
      <c r="C75" s="99">
        <f>3967.49+750+35019.01+3808.48</f>
        <v>43544.98</v>
      </c>
      <c r="D75" s="99">
        <f>2730+2000+20000+15000</f>
        <v>39730</v>
      </c>
      <c r="E75" s="99">
        <f>2730+1860.85+26313.06+13260.71</f>
        <v>44164.62</v>
      </c>
      <c r="F75" s="58">
        <f t="shared" si="5"/>
        <v>111.16189277623963</v>
      </c>
      <c r="G75" s="58">
        <f t="shared" si="6"/>
        <v>101.42298836743065</v>
      </c>
    </row>
    <row r="76" spans="1:7" s="117" customFormat="1" ht="15">
      <c r="A76" s="27">
        <v>426</v>
      </c>
      <c r="B76" s="27" t="s">
        <v>1456</v>
      </c>
      <c r="C76" s="98">
        <f>C77</f>
        <v>2857.5</v>
      </c>
      <c r="D76" s="98">
        <f>D77</f>
        <v>7500</v>
      </c>
      <c r="E76" s="98">
        <f>E77</f>
        <v>7443.4</v>
      </c>
      <c r="F76" s="58">
        <f t="shared" si="5"/>
        <v>99.24533333333333</v>
      </c>
      <c r="G76" s="58">
        <f t="shared" si="6"/>
        <v>260.4864391951006</v>
      </c>
    </row>
    <row r="77" spans="1:7" ht="15">
      <c r="A77" s="46">
        <v>4262</v>
      </c>
      <c r="B77" s="46" t="s">
        <v>1454</v>
      </c>
      <c r="C77" s="99">
        <f>2857.5</f>
        <v>2857.5</v>
      </c>
      <c r="D77" s="99">
        <v>7500</v>
      </c>
      <c r="E77" s="99">
        <v>7443.4</v>
      </c>
      <c r="F77" s="58">
        <f t="shared" si="5"/>
        <v>99.24533333333333</v>
      </c>
      <c r="G77" s="58">
        <f t="shared" si="6"/>
        <v>260.4864391951006</v>
      </c>
    </row>
    <row r="78" spans="1:7" ht="15">
      <c r="A78" s="47"/>
      <c r="B78" s="47" t="s">
        <v>1313</v>
      </c>
      <c r="C78" s="101">
        <f>C5+C64</f>
        <v>23302225.25</v>
      </c>
      <c r="D78" s="101">
        <f>D5+D64</f>
        <v>25651476</v>
      </c>
      <c r="E78" s="101">
        <f>E5+E64</f>
        <v>25299853.939999998</v>
      </c>
      <c r="F78" s="101">
        <f>E78/D78*100</f>
        <v>98.62923264142772</v>
      </c>
      <c r="G78" s="101">
        <f>E78/C78*100</f>
        <v>108.57269496182558</v>
      </c>
    </row>
    <row r="79" spans="4:7" ht="15">
      <c r="D79" s="11"/>
      <c r="E79" s="11"/>
      <c r="G79" s="1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3"/>
  <sheetViews>
    <sheetView zoomScalePageLayoutView="0" workbookViewId="0" topLeftCell="A1">
      <selection activeCell="E90" sqref="E90"/>
    </sheetView>
  </sheetViews>
  <sheetFormatPr defaultColWidth="9.140625" defaultRowHeight="15"/>
  <cols>
    <col min="1" max="1" width="6.28125" style="16" customWidth="1"/>
    <col min="2" max="2" width="53.140625" style="0" customWidth="1"/>
    <col min="3" max="3" width="15.8515625" style="0" customWidth="1"/>
    <col min="4" max="4" width="19.28125" style="0" customWidth="1"/>
    <col min="5" max="5" width="15.57421875" style="0" customWidth="1"/>
    <col min="6" max="6" width="9.57421875" style="0" customWidth="1"/>
    <col min="7" max="7" width="10.421875" style="0" customWidth="1"/>
    <col min="8" max="8" width="16.7109375" style="0" customWidth="1"/>
    <col min="9" max="9" width="17.28125" style="0" bestFit="1" customWidth="1"/>
  </cols>
  <sheetData>
    <row r="1" spans="1:7" ht="15">
      <c r="A1" s="126" t="s">
        <v>1403</v>
      </c>
      <c r="B1" s="126"/>
      <c r="C1" s="126"/>
      <c r="D1" s="126"/>
      <c r="E1" s="126"/>
      <c r="G1" s="74"/>
    </row>
    <row r="2" spans="1:7" ht="39.75" customHeight="1">
      <c r="A2" s="66" t="s">
        <v>1301</v>
      </c>
      <c r="B2" s="66" t="s">
        <v>1354</v>
      </c>
      <c r="C2" s="26" t="s">
        <v>1398</v>
      </c>
      <c r="D2" s="26" t="s">
        <v>1426</v>
      </c>
      <c r="E2" s="26" t="s">
        <v>1427</v>
      </c>
      <c r="F2" s="26" t="s">
        <v>1362</v>
      </c>
      <c r="G2" s="26" t="s">
        <v>1361</v>
      </c>
    </row>
    <row r="3" spans="1:7" ht="18" customHeight="1">
      <c r="A3" s="66">
        <v>1</v>
      </c>
      <c r="B3" s="66">
        <v>2</v>
      </c>
      <c r="C3" s="66">
        <v>3</v>
      </c>
      <c r="D3" s="25">
        <v>4</v>
      </c>
      <c r="E3" s="26">
        <v>5</v>
      </c>
      <c r="F3" s="26">
        <v>7</v>
      </c>
      <c r="G3" s="26">
        <v>6</v>
      </c>
    </row>
    <row r="4" spans="1:7" ht="15">
      <c r="A4" s="51"/>
      <c r="B4" s="51" t="s">
        <v>1261</v>
      </c>
      <c r="C4" s="102">
        <f>C5+C55</f>
        <v>16725736.030000001</v>
      </c>
      <c r="D4" s="102">
        <f>D5+D55</f>
        <v>18131400</v>
      </c>
      <c r="E4" s="102">
        <f>E5+E55</f>
        <v>17837086.91</v>
      </c>
      <c r="F4" s="63">
        <f>E4/D4*100</f>
        <v>98.37677680708606</v>
      </c>
      <c r="G4" s="63">
        <f>E4/C4*100</f>
        <v>106.64455589880548</v>
      </c>
    </row>
    <row r="5" spans="1:7" ht="15">
      <c r="A5" s="44">
        <v>3</v>
      </c>
      <c r="B5" s="43" t="s">
        <v>1295</v>
      </c>
      <c r="C5" s="105">
        <f>C6+C14+C44+C52+C49</f>
        <v>16613375.590000002</v>
      </c>
      <c r="D5" s="105">
        <f>D6+D14+D44+D52+D49</f>
        <v>18031170</v>
      </c>
      <c r="E5" s="105">
        <f>E6+E14+E44+E52+E49</f>
        <v>17736862.45</v>
      </c>
      <c r="F5" s="58">
        <f>E5/D5*100</f>
        <v>98.36778450871464</v>
      </c>
      <c r="G5" s="58">
        <f>E5/C5*100</f>
        <v>106.76254415554327</v>
      </c>
    </row>
    <row r="6" spans="1:7" ht="15">
      <c r="A6" s="44">
        <v>31</v>
      </c>
      <c r="B6" s="43" t="s">
        <v>1296</v>
      </c>
      <c r="C6" s="105">
        <f>C7+C9+C11</f>
        <v>14946197.14</v>
      </c>
      <c r="D6" s="105">
        <f>D7+D9+D11</f>
        <v>15958852</v>
      </c>
      <c r="E6" s="105">
        <f>E7+E9+E11</f>
        <v>15962976.07</v>
      </c>
      <c r="F6" s="58">
        <f aca="true" t="shared" si="0" ref="F6:F65">E6/D6*100</f>
        <v>100.02584189639707</v>
      </c>
      <c r="G6" s="58">
        <f aca="true" t="shared" si="1" ref="G6:G65">E6/C6*100</f>
        <v>106.80292732978096</v>
      </c>
    </row>
    <row r="7" spans="1:7" ht="15">
      <c r="A7" s="44">
        <v>311</v>
      </c>
      <c r="B7" s="43" t="s">
        <v>1297</v>
      </c>
      <c r="C7" s="105">
        <f>C8</f>
        <v>12584147.15</v>
      </c>
      <c r="D7" s="105">
        <f>D8</f>
        <v>13406905</v>
      </c>
      <c r="E7" s="105">
        <f>E8</f>
        <v>13411946.67</v>
      </c>
      <c r="F7" s="58">
        <f t="shared" si="0"/>
        <v>100.03760502517174</v>
      </c>
      <c r="G7" s="58">
        <f t="shared" si="1"/>
        <v>106.57811379772366</v>
      </c>
    </row>
    <row r="8" spans="1:7" ht="15">
      <c r="A8" s="48">
        <v>3111</v>
      </c>
      <c r="B8" s="49" t="s">
        <v>1287</v>
      </c>
      <c r="C8" s="100">
        <v>12584147.15</v>
      </c>
      <c r="D8" s="100">
        <f>13363005+43900</f>
        <v>13406905</v>
      </c>
      <c r="E8" s="100">
        <v>13411946.67</v>
      </c>
      <c r="F8" s="58">
        <f t="shared" si="0"/>
        <v>100.03760502517174</v>
      </c>
      <c r="G8" s="58">
        <f t="shared" si="1"/>
        <v>106.57811379772366</v>
      </c>
    </row>
    <row r="9" spans="1:9" ht="15">
      <c r="A9" s="44">
        <v>312</v>
      </c>
      <c r="B9" s="43" t="s">
        <v>1288</v>
      </c>
      <c r="C9" s="105">
        <f>C10</f>
        <v>299803.23</v>
      </c>
      <c r="D9" s="105">
        <f>D10</f>
        <v>353103</v>
      </c>
      <c r="E9" s="105">
        <f>E10</f>
        <v>352485.84</v>
      </c>
      <c r="F9" s="58">
        <f t="shared" si="0"/>
        <v>99.82521813748397</v>
      </c>
      <c r="G9" s="58">
        <f t="shared" si="1"/>
        <v>117.57239573436217</v>
      </c>
      <c r="I9" s="116"/>
    </row>
    <row r="10" spans="1:7" ht="15">
      <c r="A10" s="48">
        <v>3121</v>
      </c>
      <c r="B10" s="49" t="s">
        <v>1288</v>
      </c>
      <c r="C10" s="100">
        <v>299803.23</v>
      </c>
      <c r="D10" s="100">
        <v>353103</v>
      </c>
      <c r="E10" s="100">
        <v>352485.84</v>
      </c>
      <c r="F10" s="58">
        <f t="shared" si="0"/>
        <v>99.82521813748397</v>
      </c>
      <c r="G10" s="58">
        <f t="shared" si="1"/>
        <v>117.57239573436217</v>
      </c>
    </row>
    <row r="11" spans="1:7" ht="15">
      <c r="A11" s="44">
        <v>313</v>
      </c>
      <c r="B11" s="50" t="s">
        <v>1298</v>
      </c>
      <c r="C11" s="105">
        <f>C12</f>
        <v>2062246.76</v>
      </c>
      <c r="D11" s="105">
        <f>D12+D13</f>
        <v>2198844</v>
      </c>
      <c r="E11" s="105">
        <f>E12+E13</f>
        <v>2198543.56</v>
      </c>
      <c r="F11" s="58">
        <f t="shared" si="0"/>
        <v>99.98633645679276</v>
      </c>
      <c r="G11" s="58">
        <f t="shared" si="1"/>
        <v>106.60914118735238</v>
      </c>
    </row>
    <row r="12" spans="1:7" ht="15">
      <c r="A12" s="48">
        <v>3132</v>
      </c>
      <c r="B12" s="49" t="s">
        <v>1324</v>
      </c>
      <c r="C12" s="100">
        <v>2062246.76</v>
      </c>
      <c r="D12" s="100">
        <f>2190174+7560</f>
        <v>2197734</v>
      </c>
      <c r="E12" s="100">
        <v>2197829.35</v>
      </c>
      <c r="F12" s="58">
        <f t="shared" si="0"/>
        <v>100.00433855962552</v>
      </c>
      <c r="G12" s="58">
        <f t="shared" si="1"/>
        <v>106.57450857141848</v>
      </c>
    </row>
    <row r="13" spans="1:7" ht="15">
      <c r="A13" s="48">
        <v>3133</v>
      </c>
      <c r="B13" s="49" t="s">
        <v>1433</v>
      </c>
      <c r="C13" s="100">
        <v>0</v>
      </c>
      <c r="D13" s="100">
        <v>1110</v>
      </c>
      <c r="E13" s="100">
        <v>714.21</v>
      </c>
      <c r="F13" s="58">
        <f t="shared" si="0"/>
        <v>64.34324324324324</v>
      </c>
      <c r="G13" s="58" t="e">
        <f t="shared" si="1"/>
        <v>#DIV/0!</v>
      </c>
    </row>
    <row r="14" spans="1:7" ht="15">
      <c r="A14" s="44">
        <v>32</v>
      </c>
      <c r="B14" s="43" t="s">
        <v>1299</v>
      </c>
      <c r="C14" s="105">
        <f>C15+C19+C25+C35+C37</f>
        <v>1659487.1500000001</v>
      </c>
      <c r="D14" s="105">
        <f>D15+D19+D25+D35+D37</f>
        <v>2037963</v>
      </c>
      <c r="E14" s="105">
        <f>E15+E19+E25+E35+E37</f>
        <v>1748457.3199999998</v>
      </c>
      <c r="F14" s="58">
        <f t="shared" si="0"/>
        <v>85.79436034903479</v>
      </c>
      <c r="G14" s="58">
        <f t="shared" si="1"/>
        <v>105.3613051477982</v>
      </c>
    </row>
    <row r="15" spans="1:7" ht="15">
      <c r="A15" s="44">
        <v>321</v>
      </c>
      <c r="B15" s="43" t="s">
        <v>1300</v>
      </c>
      <c r="C15" s="105">
        <f>C16+C17+C18</f>
        <v>226677.09</v>
      </c>
      <c r="D15" s="105">
        <f>D16+D17+D18</f>
        <v>291636</v>
      </c>
      <c r="E15" s="105">
        <f>E16+E17+E18</f>
        <v>293258.29</v>
      </c>
      <c r="F15" s="58">
        <f t="shared" si="0"/>
        <v>100.55627220233441</v>
      </c>
      <c r="G15" s="58">
        <f t="shared" si="1"/>
        <v>129.3727081109079</v>
      </c>
    </row>
    <row r="16" spans="1:7" ht="15">
      <c r="A16" s="48">
        <v>3211</v>
      </c>
      <c r="B16" s="49" t="s">
        <v>1264</v>
      </c>
      <c r="C16" s="100">
        <v>29513.13</v>
      </c>
      <c r="D16" s="100">
        <v>29370</v>
      </c>
      <c r="E16" s="100">
        <v>29368.33</v>
      </c>
      <c r="F16" s="58">
        <f t="shared" si="0"/>
        <v>99.9943139257746</v>
      </c>
      <c r="G16" s="58">
        <f t="shared" si="1"/>
        <v>99.50937091389494</v>
      </c>
    </row>
    <row r="17" spans="1:7" ht="15" customHeight="1">
      <c r="A17" s="48">
        <v>3212</v>
      </c>
      <c r="B17" s="77" t="s">
        <v>1265</v>
      </c>
      <c r="C17" s="100">
        <v>175530.96</v>
      </c>
      <c r="D17" s="100">
        <v>247316</v>
      </c>
      <c r="E17" s="100">
        <v>246245.47</v>
      </c>
      <c r="F17" s="58">
        <f t="shared" si="0"/>
        <v>99.56714082388524</v>
      </c>
      <c r="G17" s="58">
        <f t="shared" si="1"/>
        <v>140.2860612167791</v>
      </c>
    </row>
    <row r="18" spans="1:7" ht="15">
      <c r="A18" s="48">
        <v>3213</v>
      </c>
      <c r="B18" s="49" t="s">
        <v>1266</v>
      </c>
      <c r="C18" s="100">
        <v>21633</v>
      </c>
      <c r="D18" s="100">
        <v>14950</v>
      </c>
      <c r="E18" s="100">
        <v>17644.49</v>
      </c>
      <c r="F18" s="58">
        <f t="shared" si="0"/>
        <v>118.02334448160536</v>
      </c>
      <c r="G18" s="58">
        <f t="shared" si="1"/>
        <v>81.56284380344844</v>
      </c>
    </row>
    <row r="19" spans="1:7" ht="15">
      <c r="A19" s="44">
        <v>322</v>
      </c>
      <c r="B19" s="43" t="s">
        <v>1314</v>
      </c>
      <c r="C19" s="105">
        <f>C20+C22+C23+C24+C21</f>
        <v>810616.56</v>
      </c>
      <c r="D19" s="105">
        <f>D20+D22+D23+D24+D21</f>
        <v>1205345</v>
      </c>
      <c r="E19" s="105">
        <f>E20+E22+E23+E24+E21</f>
        <v>948365.16</v>
      </c>
      <c r="F19" s="58">
        <f t="shared" si="0"/>
        <v>78.67997627235356</v>
      </c>
      <c r="G19" s="58">
        <f t="shared" si="1"/>
        <v>116.99306513057172</v>
      </c>
    </row>
    <row r="20" spans="1:7" ht="15">
      <c r="A20" s="48">
        <v>3221</v>
      </c>
      <c r="B20" s="49" t="s">
        <v>1267</v>
      </c>
      <c r="C20" s="100">
        <v>86050.49</v>
      </c>
      <c r="D20" s="103">
        <v>111130</v>
      </c>
      <c r="E20" s="103">
        <f>78076.2+419.51</f>
        <v>78495.70999999999</v>
      </c>
      <c r="F20" s="58">
        <f t="shared" si="0"/>
        <v>70.63413119769638</v>
      </c>
      <c r="G20" s="58">
        <f t="shared" si="1"/>
        <v>91.22052646068603</v>
      </c>
    </row>
    <row r="21" spans="1:7" s="117" customFormat="1" ht="15">
      <c r="A21" s="48">
        <v>3222</v>
      </c>
      <c r="B21" s="49" t="s">
        <v>1268</v>
      </c>
      <c r="C21" s="100">
        <v>19169.54</v>
      </c>
      <c r="D21" s="103"/>
      <c r="E21" s="103"/>
      <c r="F21" s="58" t="e">
        <f t="shared" si="0"/>
        <v>#DIV/0!</v>
      </c>
      <c r="G21" s="58">
        <f t="shared" si="1"/>
        <v>0</v>
      </c>
    </row>
    <row r="22" spans="1:7" ht="15">
      <c r="A22" s="48">
        <v>3223</v>
      </c>
      <c r="B22" s="49" t="s">
        <v>1269</v>
      </c>
      <c r="C22" s="100">
        <v>669850.1</v>
      </c>
      <c r="D22" s="103">
        <v>1065000</v>
      </c>
      <c r="E22" s="103">
        <f>842362.99</f>
        <v>842362.99</v>
      </c>
      <c r="F22" s="58">
        <f t="shared" si="0"/>
        <v>79.09511643192488</v>
      </c>
      <c r="G22" s="58">
        <f t="shared" si="1"/>
        <v>125.75395450414952</v>
      </c>
    </row>
    <row r="23" spans="1:7" ht="15" customHeight="1">
      <c r="A23" s="48">
        <v>3224</v>
      </c>
      <c r="B23" s="77" t="s">
        <v>1270</v>
      </c>
      <c r="C23" s="100">
        <v>13443.27</v>
      </c>
      <c r="D23" s="103">
        <v>20510</v>
      </c>
      <c r="E23" s="103">
        <v>18366.04</v>
      </c>
      <c r="F23" s="58">
        <f t="shared" si="0"/>
        <v>89.54675767918089</v>
      </c>
      <c r="G23" s="58">
        <f t="shared" si="1"/>
        <v>136.61884348079002</v>
      </c>
    </row>
    <row r="24" spans="1:7" ht="15">
      <c r="A24" s="48">
        <v>3225</v>
      </c>
      <c r="B24" s="49" t="s">
        <v>1412</v>
      </c>
      <c r="C24" s="100">
        <v>22103.16</v>
      </c>
      <c r="D24" s="103">
        <v>8705</v>
      </c>
      <c r="E24" s="103">
        <f>436+8704.42</f>
        <v>9140.42</v>
      </c>
      <c r="F24" s="58">
        <f t="shared" si="0"/>
        <v>105.0019529006318</v>
      </c>
      <c r="G24" s="58">
        <f t="shared" si="1"/>
        <v>41.35345353334093</v>
      </c>
    </row>
    <row r="25" spans="1:7" s="5" customFormat="1" ht="15">
      <c r="A25" s="44">
        <v>323</v>
      </c>
      <c r="B25" s="50" t="s">
        <v>1315</v>
      </c>
      <c r="C25" s="106">
        <f>C26+C27+C28+C29+C30+C31+C32+C33+C34</f>
        <v>582767.15</v>
      </c>
      <c r="D25" s="106">
        <f>D26+D27+D28+D29+D30+D31+D32+D33+D34</f>
        <v>490610</v>
      </c>
      <c r="E25" s="106">
        <f>E26+E27+E28+E29+E30+E31+E32+E33+E34</f>
        <v>452761.41</v>
      </c>
      <c r="F25" s="58">
        <f t="shared" si="0"/>
        <v>92.28540184668066</v>
      </c>
      <c r="G25" s="58">
        <f t="shared" si="1"/>
        <v>77.6916492290274</v>
      </c>
    </row>
    <row r="26" spans="1:7" ht="15">
      <c r="A26" s="48">
        <v>3231</v>
      </c>
      <c r="B26" s="49" t="s">
        <v>1271</v>
      </c>
      <c r="C26" s="100">
        <v>44225.46</v>
      </c>
      <c r="D26" s="100">
        <v>44000</v>
      </c>
      <c r="E26" s="103">
        <f>29414.13</f>
        <v>29414.13</v>
      </c>
      <c r="F26" s="58">
        <f t="shared" si="0"/>
        <v>66.85029545454546</v>
      </c>
      <c r="G26" s="58">
        <f t="shared" si="1"/>
        <v>66.50949475709241</v>
      </c>
    </row>
    <row r="27" spans="1:7" ht="15">
      <c r="A27" s="48">
        <v>3232</v>
      </c>
      <c r="B27" s="49" t="s">
        <v>1272</v>
      </c>
      <c r="C27" s="100">
        <v>94598.97</v>
      </c>
      <c r="D27" s="100">
        <v>75000</v>
      </c>
      <c r="E27" s="103">
        <v>45864.51</v>
      </c>
      <c r="F27" s="58">
        <f t="shared" si="0"/>
        <v>61.152680000000004</v>
      </c>
      <c r="G27" s="58">
        <f t="shared" si="1"/>
        <v>48.48309659185507</v>
      </c>
    </row>
    <row r="28" spans="1:7" ht="15">
      <c r="A28" s="48">
        <v>3233</v>
      </c>
      <c r="B28" s="49" t="s">
        <v>1273</v>
      </c>
      <c r="C28" s="100">
        <v>86416.01</v>
      </c>
      <c r="D28" s="100">
        <v>43845</v>
      </c>
      <c r="E28" s="103">
        <f>39843.91+15351.75</f>
        <v>55195.66</v>
      </c>
      <c r="F28" s="58">
        <f t="shared" si="0"/>
        <v>125.88815144258183</v>
      </c>
      <c r="G28" s="58">
        <f t="shared" si="1"/>
        <v>63.872030194404964</v>
      </c>
    </row>
    <row r="29" spans="1:7" ht="15">
      <c r="A29" s="48">
        <v>3234</v>
      </c>
      <c r="B29" s="49" t="s">
        <v>1274</v>
      </c>
      <c r="C29" s="100">
        <v>125455.95</v>
      </c>
      <c r="D29" s="100">
        <v>100000</v>
      </c>
      <c r="E29" s="103">
        <f>105470.25</f>
        <v>105470.25</v>
      </c>
      <c r="F29" s="58">
        <f t="shared" si="0"/>
        <v>105.47025000000001</v>
      </c>
      <c r="G29" s="58">
        <f t="shared" si="1"/>
        <v>84.06954791701789</v>
      </c>
    </row>
    <row r="30" spans="1:7" ht="15">
      <c r="A30" s="48">
        <v>3235</v>
      </c>
      <c r="B30" s="49" t="s">
        <v>1275</v>
      </c>
      <c r="C30" s="100">
        <v>14285.79</v>
      </c>
      <c r="D30" s="100">
        <v>5705</v>
      </c>
      <c r="E30" s="87">
        <f>1203.79+3937.5</f>
        <v>5141.29</v>
      </c>
      <c r="F30" s="58">
        <f t="shared" si="0"/>
        <v>90.11901840490798</v>
      </c>
      <c r="G30" s="58">
        <f t="shared" si="1"/>
        <v>35.98883925915192</v>
      </c>
    </row>
    <row r="31" spans="1:7" ht="15">
      <c r="A31" s="48">
        <v>3236</v>
      </c>
      <c r="B31" s="49" t="s">
        <v>1276</v>
      </c>
      <c r="C31" s="100">
        <v>15000</v>
      </c>
      <c r="D31" s="100">
        <f>34800+5790</f>
        <v>40590</v>
      </c>
      <c r="E31" s="100">
        <v>38000</v>
      </c>
      <c r="F31" s="58">
        <f t="shared" si="0"/>
        <v>93.61911800936191</v>
      </c>
      <c r="G31" s="58">
        <f t="shared" si="1"/>
        <v>253.33333333333331</v>
      </c>
    </row>
    <row r="32" spans="1:7" ht="15">
      <c r="A32" s="48">
        <v>3237</v>
      </c>
      <c r="B32" s="49" t="s">
        <v>1277</v>
      </c>
      <c r="C32" s="100">
        <v>77878.46</v>
      </c>
      <c r="D32" s="100">
        <v>36265</v>
      </c>
      <c r="E32" s="87">
        <f>36313.64</f>
        <v>36313.64</v>
      </c>
      <c r="F32" s="58">
        <f t="shared" si="0"/>
        <v>100.13412381083688</v>
      </c>
      <c r="G32" s="58">
        <f t="shared" si="1"/>
        <v>46.62860565039421</v>
      </c>
    </row>
    <row r="33" spans="1:7" ht="15">
      <c r="A33" s="48">
        <v>3238</v>
      </c>
      <c r="B33" s="49" t="s">
        <v>1278</v>
      </c>
      <c r="C33" s="100">
        <v>22561.21</v>
      </c>
      <c r="D33" s="100">
        <v>35300</v>
      </c>
      <c r="E33" s="87">
        <v>34372.17</v>
      </c>
      <c r="F33" s="58">
        <f t="shared" si="0"/>
        <v>97.37158640226629</v>
      </c>
      <c r="G33" s="58">
        <f t="shared" si="1"/>
        <v>152.35073828043798</v>
      </c>
    </row>
    <row r="34" spans="1:7" ht="15">
      <c r="A34" s="48">
        <v>3239</v>
      </c>
      <c r="B34" s="49" t="s">
        <v>1279</v>
      </c>
      <c r="C34" s="100">
        <v>102345.3</v>
      </c>
      <c r="D34" s="100">
        <v>109905</v>
      </c>
      <c r="E34" s="87">
        <f>99114.76+3875</f>
        <v>102989.76</v>
      </c>
      <c r="F34" s="58">
        <f t="shared" si="0"/>
        <v>93.7079841681452</v>
      </c>
      <c r="G34" s="58">
        <f t="shared" si="1"/>
        <v>100.62969183733887</v>
      </c>
    </row>
    <row r="35" spans="1:7" s="71" customFormat="1" ht="15">
      <c r="A35" s="44">
        <v>324</v>
      </c>
      <c r="B35" s="43" t="s">
        <v>1321</v>
      </c>
      <c r="C35" s="105">
        <f>C36</f>
        <v>5756</v>
      </c>
      <c r="D35" s="105">
        <f>D36</f>
        <v>950</v>
      </c>
      <c r="E35" s="105">
        <f>E36</f>
        <v>944</v>
      </c>
      <c r="F35" s="58">
        <f t="shared" si="0"/>
        <v>99.36842105263159</v>
      </c>
      <c r="G35" s="58">
        <f t="shared" si="1"/>
        <v>16.400277970813065</v>
      </c>
    </row>
    <row r="36" spans="1:7" ht="15">
      <c r="A36" s="48">
        <v>3241</v>
      </c>
      <c r="B36" s="49" t="s">
        <v>1321</v>
      </c>
      <c r="C36" s="100">
        <v>5756</v>
      </c>
      <c r="D36" s="100">
        <v>950</v>
      </c>
      <c r="E36" s="100">
        <v>944</v>
      </c>
      <c r="F36" s="58">
        <f t="shared" si="0"/>
        <v>99.36842105263159</v>
      </c>
      <c r="G36" s="58">
        <f t="shared" si="1"/>
        <v>16.400277970813065</v>
      </c>
    </row>
    <row r="37" spans="1:7" ht="15">
      <c r="A37" s="44">
        <v>329</v>
      </c>
      <c r="B37" s="43" t="s">
        <v>1283</v>
      </c>
      <c r="C37" s="105">
        <f>SUM(C38:C43)</f>
        <v>33670.35</v>
      </c>
      <c r="D37" s="105">
        <f>SUM(D38:D43)</f>
        <v>49422</v>
      </c>
      <c r="E37" s="105">
        <f>SUM(E38:E43)</f>
        <v>53128.46</v>
      </c>
      <c r="F37" s="58">
        <f t="shared" si="0"/>
        <v>107.49961555582534</v>
      </c>
      <c r="G37" s="58">
        <f t="shared" si="1"/>
        <v>157.79004376253886</v>
      </c>
    </row>
    <row r="38" spans="1:7" s="117" customFormat="1" ht="15">
      <c r="A38" s="72">
        <v>3292</v>
      </c>
      <c r="B38" s="73" t="s">
        <v>1280</v>
      </c>
      <c r="C38" s="104">
        <v>73.57</v>
      </c>
      <c r="D38" s="104"/>
      <c r="E38" s="104"/>
      <c r="F38" s="58" t="e">
        <f t="shared" si="0"/>
        <v>#DIV/0!</v>
      </c>
      <c r="G38" s="58">
        <f t="shared" si="1"/>
        <v>0</v>
      </c>
    </row>
    <row r="39" spans="1:7" ht="15">
      <c r="A39" s="48">
        <v>3293</v>
      </c>
      <c r="B39" s="49" t="s">
        <v>1289</v>
      </c>
      <c r="C39" s="100">
        <v>0</v>
      </c>
      <c r="D39" s="103">
        <v>1322</v>
      </c>
      <c r="E39" s="100">
        <v>1322</v>
      </c>
      <c r="F39" s="58">
        <f t="shared" si="0"/>
        <v>100</v>
      </c>
      <c r="G39" s="58" t="e">
        <f t="shared" si="1"/>
        <v>#DIV/0!</v>
      </c>
    </row>
    <row r="40" spans="1:7" ht="15">
      <c r="A40" s="48">
        <v>3294</v>
      </c>
      <c r="B40" s="49" t="s">
        <v>1281</v>
      </c>
      <c r="C40" s="100">
        <v>6408.83</v>
      </c>
      <c r="D40" s="103">
        <v>6000</v>
      </c>
      <c r="E40" s="100">
        <v>6000</v>
      </c>
      <c r="F40" s="58">
        <f t="shared" si="0"/>
        <v>100</v>
      </c>
      <c r="G40" s="58">
        <f t="shared" si="1"/>
        <v>93.6208325076496</v>
      </c>
    </row>
    <row r="41" spans="1:7" ht="15">
      <c r="A41" s="48">
        <v>3295</v>
      </c>
      <c r="B41" s="49" t="s">
        <v>1282</v>
      </c>
      <c r="C41" s="100">
        <v>20325</v>
      </c>
      <c r="D41" s="100">
        <v>22325</v>
      </c>
      <c r="E41" s="100">
        <v>22325</v>
      </c>
      <c r="F41" s="58">
        <f t="shared" si="0"/>
        <v>100</v>
      </c>
      <c r="G41" s="58">
        <f t="shared" si="1"/>
        <v>109.840098400984</v>
      </c>
    </row>
    <row r="42" spans="1:7" ht="15">
      <c r="A42" s="48">
        <v>3296</v>
      </c>
      <c r="B42" s="49" t="s">
        <v>1431</v>
      </c>
      <c r="C42" s="100">
        <v>0</v>
      </c>
      <c r="D42" s="100">
        <v>16875</v>
      </c>
      <c r="E42" s="100">
        <v>14462.7</v>
      </c>
      <c r="F42" s="58">
        <f t="shared" si="0"/>
        <v>85.7048888888889</v>
      </c>
      <c r="G42" s="58" t="e">
        <f t="shared" si="1"/>
        <v>#DIV/0!</v>
      </c>
    </row>
    <row r="43" spans="1:7" ht="15">
      <c r="A43" s="48">
        <v>3299</v>
      </c>
      <c r="B43" s="46" t="s">
        <v>1283</v>
      </c>
      <c r="C43" s="100">
        <v>6862.95</v>
      </c>
      <c r="D43" s="100">
        <v>2900</v>
      </c>
      <c r="E43" s="103">
        <v>9018.76</v>
      </c>
      <c r="F43" s="58">
        <f t="shared" si="0"/>
        <v>310.99172413793104</v>
      </c>
      <c r="G43" s="58">
        <f t="shared" si="1"/>
        <v>131.41229354723552</v>
      </c>
    </row>
    <row r="44" spans="1:7" ht="15">
      <c r="A44" s="44">
        <v>34</v>
      </c>
      <c r="B44" s="43" t="s">
        <v>1316</v>
      </c>
      <c r="C44" s="105">
        <f>C45</f>
        <v>7691.3</v>
      </c>
      <c r="D44" s="105">
        <f>D45</f>
        <v>34355</v>
      </c>
      <c r="E44" s="105">
        <f>E45</f>
        <v>25429.059999999998</v>
      </c>
      <c r="F44" s="58">
        <f t="shared" si="0"/>
        <v>74.01851258914277</v>
      </c>
      <c r="G44" s="58">
        <f t="shared" si="1"/>
        <v>330.6210913629685</v>
      </c>
    </row>
    <row r="45" spans="1:7" ht="15">
      <c r="A45" s="44">
        <v>343</v>
      </c>
      <c r="B45" s="43" t="s">
        <v>1317</v>
      </c>
      <c r="C45" s="105">
        <f>SUM(C46:C48)</f>
        <v>7691.3</v>
      </c>
      <c r="D45" s="105">
        <f>SUM(D46:D48)</f>
        <v>34355</v>
      </c>
      <c r="E45" s="105">
        <f>SUM(E46:E48)</f>
        <v>25429.059999999998</v>
      </c>
      <c r="F45" s="58">
        <f t="shared" si="0"/>
        <v>74.01851258914277</v>
      </c>
      <c r="G45" s="58">
        <f t="shared" si="1"/>
        <v>330.6210913629685</v>
      </c>
    </row>
    <row r="46" spans="1:7" ht="15">
      <c r="A46" s="48">
        <v>3431</v>
      </c>
      <c r="B46" s="49" t="s">
        <v>1284</v>
      </c>
      <c r="C46" s="100">
        <v>7691.3</v>
      </c>
      <c r="D46" s="100">
        <v>15900</v>
      </c>
      <c r="E46" s="100">
        <v>8544.55</v>
      </c>
      <c r="F46" s="58">
        <f t="shared" si="0"/>
        <v>53.73930817610062</v>
      </c>
      <c r="G46" s="58">
        <f t="shared" si="1"/>
        <v>111.09370327512902</v>
      </c>
    </row>
    <row r="47" spans="1:7" ht="15">
      <c r="A47" s="48">
        <v>3433</v>
      </c>
      <c r="B47" s="49" t="s">
        <v>1364</v>
      </c>
      <c r="C47" s="100">
        <v>0</v>
      </c>
      <c r="D47" s="100">
        <f>18455</f>
        <v>18455</v>
      </c>
      <c r="E47" s="100">
        <v>16884.51</v>
      </c>
      <c r="F47" s="58">
        <f t="shared" si="0"/>
        <v>91.49016526686535</v>
      </c>
      <c r="G47" s="58" t="e">
        <f t="shared" si="1"/>
        <v>#DIV/0!</v>
      </c>
    </row>
    <row r="48" spans="1:7" ht="15">
      <c r="A48" s="48">
        <v>3434</v>
      </c>
      <c r="B48" s="49" t="s">
        <v>1410</v>
      </c>
      <c r="C48" s="100">
        <v>0</v>
      </c>
      <c r="D48" s="100">
        <v>0</v>
      </c>
      <c r="E48" s="100">
        <v>0</v>
      </c>
      <c r="F48" s="58" t="e">
        <f t="shared" si="0"/>
        <v>#DIV/0!</v>
      </c>
      <c r="G48" s="58" t="e">
        <f t="shared" si="1"/>
        <v>#DIV/0!</v>
      </c>
    </row>
    <row r="49" spans="1:7" ht="15">
      <c r="A49" s="44">
        <v>36</v>
      </c>
      <c r="B49" s="43" t="s">
        <v>1352</v>
      </c>
      <c r="C49" s="105">
        <f aca="true" t="shared" si="2" ref="C49:E50">C50</f>
        <v>0</v>
      </c>
      <c r="D49" s="105">
        <f t="shared" si="2"/>
        <v>0</v>
      </c>
      <c r="E49" s="105">
        <f t="shared" si="2"/>
        <v>0</v>
      </c>
      <c r="F49" s="58" t="e">
        <f t="shared" si="0"/>
        <v>#DIV/0!</v>
      </c>
      <c r="G49" s="58" t="e">
        <f t="shared" si="1"/>
        <v>#DIV/0!</v>
      </c>
    </row>
    <row r="50" spans="1:7" ht="15">
      <c r="A50" s="44">
        <v>369</v>
      </c>
      <c r="B50" s="43" t="s">
        <v>1291</v>
      </c>
      <c r="C50" s="105">
        <f t="shared" si="2"/>
        <v>0</v>
      </c>
      <c r="D50" s="105">
        <f t="shared" si="2"/>
        <v>0</v>
      </c>
      <c r="E50" s="105">
        <f t="shared" si="2"/>
        <v>0</v>
      </c>
      <c r="F50" s="58" t="e">
        <f t="shared" si="0"/>
        <v>#DIV/0!</v>
      </c>
      <c r="G50" s="58" t="e">
        <f t="shared" si="1"/>
        <v>#DIV/0!</v>
      </c>
    </row>
    <row r="51" spans="1:7" ht="15">
      <c r="A51" s="48">
        <v>3691</v>
      </c>
      <c r="B51" s="49" t="s">
        <v>1291</v>
      </c>
      <c r="C51" s="100">
        <v>0</v>
      </c>
      <c r="D51" s="100">
        <v>0</v>
      </c>
      <c r="E51" s="100">
        <v>0</v>
      </c>
      <c r="F51" s="58" t="e">
        <f t="shared" si="0"/>
        <v>#DIV/0!</v>
      </c>
      <c r="G51" s="58" t="e">
        <f t="shared" si="1"/>
        <v>#DIV/0!</v>
      </c>
    </row>
    <row r="52" spans="1:7" ht="15">
      <c r="A52" s="44">
        <v>37</v>
      </c>
      <c r="B52" s="43" t="s">
        <v>1396</v>
      </c>
      <c r="C52" s="105">
        <f aca="true" t="shared" si="3" ref="C52:E53">C53</f>
        <v>0</v>
      </c>
      <c r="D52" s="105">
        <f t="shared" si="3"/>
        <v>0</v>
      </c>
      <c r="E52" s="105">
        <f t="shared" si="3"/>
        <v>0</v>
      </c>
      <c r="F52" s="58" t="e">
        <f t="shared" si="0"/>
        <v>#DIV/0!</v>
      </c>
      <c r="G52" s="58" t="e">
        <f t="shared" si="1"/>
        <v>#DIV/0!</v>
      </c>
    </row>
    <row r="53" spans="1:7" ht="15">
      <c r="A53" s="44">
        <v>372</v>
      </c>
      <c r="B53" s="43" t="s">
        <v>1397</v>
      </c>
      <c r="C53" s="105">
        <f t="shared" si="3"/>
        <v>0</v>
      </c>
      <c r="D53" s="105">
        <f t="shared" si="3"/>
        <v>0</v>
      </c>
      <c r="E53" s="105">
        <f t="shared" si="3"/>
        <v>0</v>
      </c>
      <c r="F53" s="58" t="e">
        <f t="shared" si="0"/>
        <v>#DIV/0!</v>
      </c>
      <c r="G53" s="58" t="e">
        <f t="shared" si="1"/>
        <v>#DIV/0!</v>
      </c>
    </row>
    <row r="54" spans="1:7" ht="15">
      <c r="A54" s="48">
        <v>3721</v>
      </c>
      <c r="B54" s="49" t="s">
        <v>1396</v>
      </c>
      <c r="C54" s="100">
        <v>0</v>
      </c>
      <c r="D54" s="100">
        <v>0</v>
      </c>
      <c r="E54" s="100">
        <v>0</v>
      </c>
      <c r="F54" s="58" t="e">
        <f t="shared" si="0"/>
        <v>#DIV/0!</v>
      </c>
      <c r="G54" s="58" t="e">
        <f t="shared" si="1"/>
        <v>#DIV/0!</v>
      </c>
    </row>
    <row r="55" spans="1:7" ht="15">
      <c r="A55" s="44">
        <v>4</v>
      </c>
      <c r="B55" s="43" t="s">
        <v>1318</v>
      </c>
      <c r="C55" s="105">
        <f>C56+C59</f>
        <v>112360.44</v>
      </c>
      <c r="D55" s="105">
        <f>D56+D59</f>
        <v>100230</v>
      </c>
      <c r="E55" s="105">
        <f>E56+E59</f>
        <v>100224.46</v>
      </c>
      <c r="F55" s="58">
        <f t="shared" si="0"/>
        <v>99.99447271276065</v>
      </c>
      <c r="G55" s="58">
        <f t="shared" si="1"/>
        <v>89.19906330021492</v>
      </c>
    </row>
    <row r="56" spans="1:7" ht="15">
      <c r="A56" s="44">
        <v>41</v>
      </c>
      <c r="B56" s="43" t="s">
        <v>1442</v>
      </c>
      <c r="C56" s="105">
        <f aca="true" t="shared" si="4" ref="C56:E57">C57</f>
        <v>0</v>
      </c>
      <c r="D56" s="105">
        <f t="shared" si="4"/>
        <v>2780</v>
      </c>
      <c r="E56" s="105">
        <f t="shared" si="4"/>
        <v>2776.19</v>
      </c>
      <c r="F56" s="58">
        <f t="shared" si="0"/>
        <v>99.86294964028777</v>
      </c>
      <c r="G56" s="58" t="e">
        <f t="shared" si="1"/>
        <v>#DIV/0!</v>
      </c>
    </row>
    <row r="57" spans="1:7" ht="15">
      <c r="A57" s="44">
        <v>411</v>
      </c>
      <c r="B57" s="43" t="s">
        <v>1443</v>
      </c>
      <c r="C57" s="105">
        <f>C58</f>
        <v>0</v>
      </c>
      <c r="D57" s="105">
        <f t="shared" si="4"/>
        <v>2780</v>
      </c>
      <c r="E57" s="105">
        <f t="shared" si="4"/>
        <v>2776.19</v>
      </c>
      <c r="F57" s="58">
        <f t="shared" si="0"/>
        <v>99.86294964028777</v>
      </c>
      <c r="G57" s="58" t="e">
        <f t="shared" si="1"/>
        <v>#DIV/0!</v>
      </c>
    </row>
    <row r="58" spans="1:7" ht="15">
      <c r="A58" s="72">
        <v>4123</v>
      </c>
      <c r="B58" s="73" t="s">
        <v>1434</v>
      </c>
      <c r="C58" s="104">
        <v>0</v>
      </c>
      <c r="D58" s="104">
        <v>2780</v>
      </c>
      <c r="E58" s="103">
        <v>2776.19</v>
      </c>
      <c r="F58" s="58">
        <f t="shared" si="0"/>
        <v>99.86294964028777</v>
      </c>
      <c r="G58" s="58" t="e">
        <f t="shared" si="1"/>
        <v>#DIV/0!</v>
      </c>
    </row>
    <row r="59" spans="1:7" s="117" customFormat="1" ht="15">
      <c r="A59" s="44">
        <v>42</v>
      </c>
      <c r="B59" s="43" t="s">
        <v>1319</v>
      </c>
      <c r="C59" s="105">
        <f>C60+C64+C66</f>
        <v>112360.44</v>
      </c>
      <c r="D59" s="105">
        <f>D60+D64+D66</f>
        <v>97450</v>
      </c>
      <c r="E59" s="105">
        <f>E60+E64+E66</f>
        <v>97448.27</v>
      </c>
      <c r="F59" s="58">
        <f t="shared" si="0"/>
        <v>99.99822473063111</v>
      </c>
      <c r="G59" s="58">
        <f t="shared" si="1"/>
        <v>86.72827375898493</v>
      </c>
    </row>
    <row r="60" spans="1:7" s="117" customFormat="1" ht="15">
      <c r="A60" s="44">
        <v>422</v>
      </c>
      <c r="B60" s="43" t="s">
        <v>1320</v>
      </c>
      <c r="C60" s="105">
        <f>C61+C63+C62</f>
        <v>105535.45</v>
      </c>
      <c r="D60" s="105">
        <f>D61+D63+D62</f>
        <v>94720</v>
      </c>
      <c r="E60" s="105">
        <f>E61+E63+E62</f>
        <v>94718.27</v>
      </c>
      <c r="F60" s="58">
        <f t="shared" si="0"/>
        <v>99.9981735641892</v>
      </c>
      <c r="G60" s="58">
        <f t="shared" si="1"/>
        <v>89.75019294464562</v>
      </c>
    </row>
    <row r="61" spans="1:7" ht="15">
      <c r="A61" s="48">
        <v>4221</v>
      </c>
      <c r="B61" s="49" t="s">
        <v>1285</v>
      </c>
      <c r="C61" s="100">
        <v>57329.24</v>
      </c>
      <c r="D61" s="100">
        <v>65635</v>
      </c>
      <c r="E61" s="100">
        <v>65633.99</v>
      </c>
      <c r="F61" s="58">
        <f t="shared" si="0"/>
        <v>99.99846118686678</v>
      </c>
      <c r="G61" s="58">
        <f t="shared" si="1"/>
        <v>114.48606330731054</v>
      </c>
    </row>
    <row r="62" spans="1:7" s="117" customFormat="1" ht="15">
      <c r="A62" s="48">
        <v>4224</v>
      </c>
      <c r="B62" s="49" t="s">
        <v>1440</v>
      </c>
      <c r="C62" s="100">
        <v>3662.5</v>
      </c>
      <c r="D62" s="100"/>
      <c r="E62" s="100"/>
      <c r="F62" s="58"/>
      <c r="G62" s="58"/>
    </row>
    <row r="63" spans="1:7" ht="15">
      <c r="A63" s="48">
        <v>4225</v>
      </c>
      <c r="B63" s="49" t="s">
        <v>1294</v>
      </c>
      <c r="C63" s="100">
        <v>44543.71</v>
      </c>
      <c r="D63" s="100">
        <v>29085</v>
      </c>
      <c r="E63" s="100">
        <v>29084.28</v>
      </c>
      <c r="F63" s="58">
        <f t="shared" si="0"/>
        <v>99.99752449716348</v>
      </c>
      <c r="G63" s="58">
        <f t="shared" si="1"/>
        <v>65.29379793465789</v>
      </c>
    </row>
    <row r="64" spans="1:7" s="117" customFormat="1" ht="15">
      <c r="A64" s="44">
        <v>424</v>
      </c>
      <c r="B64" s="43" t="s">
        <v>1455</v>
      </c>
      <c r="C64" s="105">
        <f>C65</f>
        <v>3967.49</v>
      </c>
      <c r="D64" s="105">
        <f>D65</f>
        <v>2730</v>
      </c>
      <c r="E64" s="105">
        <f>E65</f>
        <v>2730</v>
      </c>
      <c r="F64" s="58">
        <f t="shared" si="0"/>
        <v>100</v>
      </c>
      <c r="G64" s="58">
        <f t="shared" si="1"/>
        <v>68.80924715626253</v>
      </c>
    </row>
    <row r="65" spans="1:7" ht="15">
      <c r="A65" s="48">
        <v>4223</v>
      </c>
      <c r="B65" s="49" t="s">
        <v>1435</v>
      </c>
      <c r="C65" s="100">
        <v>3967.49</v>
      </c>
      <c r="D65" s="100">
        <v>2730</v>
      </c>
      <c r="E65" s="100">
        <v>2730</v>
      </c>
      <c r="F65" s="58">
        <f t="shared" si="0"/>
        <v>100</v>
      </c>
      <c r="G65" s="58">
        <f t="shared" si="1"/>
        <v>68.80924715626253</v>
      </c>
    </row>
    <row r="66" spans="1:7" s="117" customFormat="1" ht="15">
      <c r="A66" s="44">
        <v>426</v>
      </c>
      <c r="B66" s="43" t="s">
        <v>1456</v>
      </c>
      <c r="C66" s="105">
        <f>C67</f>
        <v>2857.5</v>
      </c>
      <c r="D66" s="100"/>
      <c r="E66" s="100"/>
      <c r="F66" s="58"/>
      <c r="G66" s="58"/>
    </row>
    <row r="67" spans="1:7" s="117" customFormat="1" ht="15">
      <c r="A67" s="72">
        <v>4262</v>
      </c>
      <c r="B67" s="49" t="s">
        <v>1454</v>
      </c>
      <c r="C67" s="100">
        <v>2857.5</v>
      </c>
      <c r="D67" s="100"/>
      <c r="E67" s="100"/>
      <c r="F67" s="58"/>
      <c r="G67" s="58"/>
    </row>
    <row r="68" spans="1:9" ht="15">
      <c r="A68" s="51"/>
      <c r="B68" s="51" t="s">
        <v>1263</v>
      </c>
      <c r="C68" s="102">
        <f>C69+C115</f>
        <v>1559386.84</v>
      </c>
      <c r="D68" s="102">
        <f>D69+D115</f>
        <v>1597880</v>
      </c>
      <c r="E68" s="102">
        <f>E69+E115</f>
        <v>1422104.77</v>
      </c>
      <c r="F68" s="63">
        <f>E68/D68*100</f>
        <v>88.9994724259644</v>
      </c>
      <c r="G68" s="63">
        <f>E68/C68*100</f>
        <v>91.19640704419437</v>
      </c>
      <c r="I68" s="116"/>
    </row>
    <row r="69" spans="1:7" ht="15">
      <c r="A69" s="44">
        <v>3</v>
      </c>
      <c r="B69" s="43" t="s">
        <v>1325</v>
      </c>
      <c r="C69" s="105">
        <f>C70+C77+C104+C109+C112</f>
        <v>1476069.75</v>
      </c>
      <c r="D69" s="105">
        <f>D70+D77+D104+D109+D112</f>
        <v>1494960</v>
      </c>
      <c r="E69" s="105">
        <f>E70+E77+E104+E109+E112</f>
        <v>1351551.73</v>
      </c>
      <c r="F69" s="58">
        <f>E69/D69*100</f>
        <v>90.40721691550276</v>
      </c>
      <c r="G69" s="58">
        <f>E69/C69*100</f>
        <v>91.56421842531492</v>
      </c>
    </row>
    <row r="70" spans="1:7" ht="15">
      <c r="A70" s="44">
        <v>31</v>
      </c>
      <c r="B70" s="43" t="s">
        <v>1296</v>
      </c>
      <c r="C70" s="105">
        <f>C71+C73+C75</f>
        <v>436932.32999999996</v>
      </c>
      <c r="D70" s="105">
        <f>D71+D73+D75</f>
        <v>352440</v>
      </c>
      <c r="E70" s="105">
        <f>E71+E73+E75</f>
        <v>362174.95999999996</v>
      </c>
      <c r="F70" s="58">
        <f aca="true" t="shared" si="5" ref="F70:F126">E70/D70*100</f>
        <v>102.76216093519463</v>
      </c>
      <c r="G70" s="58">
        <f>E70/C70*100</f>
        <v>82.89040090029502</v>
      </c>
    </row>
    <row r="71" spans="1:9" ht="15">
      <c r="A71" s="44">
        <v>311</v>
      </c>
      <c r="B71" s="43" t="s">
        <v>1287</v>
      </c>
      <c r="C71" s="105">
        <f>C72</f>
        <v>342991.86</v>
      </c>
      <c r="D71" s="105">
        <f>D72</f>
        <v>270000</v>
      </c>
      <c r="E71" s="105">
        <f>E72</f>
        <v>279242.95</v>
      </c>
      <c r="F71" s="58">
        <f t="shared" si="5"/>
        <v>103.42331481481482</v>
      </c>
      <c r="G71" s="58">
        <f>E71/C71*100</f>
        <v>81.4138708714545</v>
      </c>
      <c r="I71" s="116"/>
    </row>
    <row r="72" spans="1:7" ht="15">
      <c r="A72" s="48">
        <v>3111</v>
      </c>
      <c r="B72" s="49" t="s">
        <v>1287</v>
      </c>
      <c r="C72" s="100">
        <v>342991.86</v>
      </c>
      <c r="D72" s="100">
        <v>270000</v>
      </c>
      <c r="E72" s="100">
        <v>279242.95</v>
      </c>
      <c r="F72" s="58">
        <f t="shared" si="5"/>
        <v>103.42331481481482</v>
      </c>
      <c r="G72" s="58">
        <f aca="true" t="shared" si="6" ref="G72:G126">E72/C72*100</f>
        <v>81.4138708714545</v>
      </c>
    </row>
    <row r="73" spans="1:7" ht="15">
      <c r="A73" s="44">
        <v>312</v>
      </c>
      <c r="B73" s="43" t="s">
        <v>1288</v>
      </c>
      <c r="C73" s="105">
        <f>C74</f>
        <v>38526.3</v>
      </c>
      <c r="D73" s="105">
        <f>D74</f>
        <v>36000</v>
      </c>
      <c r="E73" s="105">
        <f>E74</f>
        <v>36007.23</v>
      </c>
      <c r="F73" s="58">
        <f t="shared" si="5"/>
        <v>100.02008333333335</v>
      </c>
      <c r="G73" s="58">
        <f t="shared" si="6"/>
        <v>93.46142764812609</v>
      </c>
    </row>
    <row r="74" spans="1:7" ht="15">
      <c r="A74" s="48">
        <v>3121</v>
      </c>
      <c r="B74" s="49" t="s">
        <v>1288</v>
      </c>
      <c r="C74" s="100">
        <v>38526.3</v>
      </c>
      <c r="D74" s="103">
        <v>36000</v>
      </c>
      <c r="E74" s="103">
        <v>36007.23</v>
      </c>
      <c r="F74" s="58">
        <f t="shared" si="5"/>
        <v>100.02008333333335</v>
      </c>
      <c r="G74" s="58">
        <f t="shared" si="6"/>
        <v>93.46142764812609</v>
      </c>
    </row>
    <row r="75" spans="1:9" ht="15">
      <c r="A75" s="44">
        <v>313</v>
      </c>
      <c r="B75" s="50" t="s">
        <v>1298</v>
      </c>
      <c r="C75" s="105">
        <f>C76</f>
        <v>55414.17</v>
      </c>
      <c r="D75" s="105">
        <f>D76</f>
        <v>46440</v>
      </c>
      <c r="E75" s="105">
        <f>E76</f>
        <v>46924.78</v>
      </c>
      <c r="F75" s="58">
        <f t="shared" si="5"/>
        <v>101.04388458225668</v>
      </c>
      <c r="G75" s="58">
        <f t="shared" si="6"/>
        <v>84.68010979863094</v>
      </c>
      <c r="I75" s="116"/>
    </row>
    <row r="76" spans="1:7" ht="15">
      <c r="A76" s="48">
        <v>3132</v>
      </c>
      <c r="B76" s="49" t="s">
        <v>1324</v>
      </c>
      <c r="C76" s="100">
        <v>55414.17</v>
      </c>
      <c r="D76" s="103">
        <v>46440</v>
      </c>
      <c r="E76" s="103">
        <v>46924.78</v>
      </c>
      <c r="F76" s="58">
        <f t="shared" si="5"/>
        <v>101.04388458225668</v>
      </c>
      <c r="G76" s="58">
        <f t="shared" si="6"/>
        <v>84.68010979863094</v>
      </c>
    </row>
    <row r="77" spans="1:7" ht="15">
      <c r="A77" s="44">
        <v>32</v>
      </c>
      <c r="B77" s="43" t="s">
        <v>1299</v>
      </c>
      <c r="C77" s="105">
        <f>C78+C83+C90+C99+C97</f>
        <v>970356.39</v>
      </c>
      <c r="D77" s="105">
        <f>D78+D83+D90+D99+D97</f>
        <v>1074800</v>
      </c>
      <c r="E77" s="105">
        <f>E78+E83+E90+E99+E97</f>
        <v>909562.01</v>
      </c>
      <c r="F77" s="58">
        <f t="shared" si="5"/>
        <v>84.62616393747673</v>
      </c>
      <c r="G77" s="58">
        <f t="shared" si="6"/>
        <v>93.73484004160575</v>
      </c>
    </row>
    <row r="78" spans="1:7" ht="15">
      <c r="A78" s="44">
        <v>321</v>
      </c>
      <c r="B78" s="43" t="s">
        <v>1300</v>
      </c>
      <c r="C78" s="105">
        <f>C79+C80+C81+C82</f>
        <v>99791.39</v>
      </c>
      <c r="D78" s="105">
        <f>D79+D80+D81+D82</f>
        <v>120000</v>
      </c>
      <c r="E78" s="105">
        <f>E79+E80+E81+E82</f>
        <v>106977.01999999999</v>
      </c>
      <c r="F78" s="58">
        <f t="shared" si="5"/>
        <v>89.14751666666666</v>
      </c>
      <c r="G78" s="58">
        <f t="shared" si="6"/>
        <v>107.20065127863234</v>
      </c>
    </row>
    <row r="79" spans="1:9" ht="15">
      <c r="A79" s="48">
        <v>3211</v>
      </c>
      <c r="B79" s="49" t="s">
        <v>1264</v>
      </c>
      <c r="C79" s="100">
        <v>75499.33</v>
      </c>
      <c r="D79" s="100">
        <v>110000</v>
      </c>
      <c r="E79" s="100">
        <v>96199.43</v>
      </c>
      <c r="F79" s="58">
        <f t="shared" si="5"/>
        <v>87.45402727272726</v>
      </c>
      <c r="G79" s="58">
        <f t="shared" si="6"/>
        <v>127.41759430183022</v>
      </c>
      <c r="I79" s="116"/>
    </row>
    <row r="80" spans="1:7" s="117" customFormat="1" ht="15">
      <c r="A80" s="86">
        <v>3212</v>
      </c>
      <c r="B80" s="56" t="s">
        <v>1265</v>
      </c>
      <c r="C80" s="100">
        <v>11995.23</v>
      </c>
      <c r="D80" s="103">
        <v>2000</v>
      </c>
      <c r="E80" s="103">
        <v>1406.01</v>
      </c>
      <c r="F80" s="58">
        <f t="shared" si="5"/>
        <v>70.3005</v>
      </c>
      <c r="G80" s="58">
        <f t="shared" si="6"/>
        <v>11.721409260180922</v>
      </c>
    </row>
    <row r="81" spans="1:7" s="117" customFormat="1" ht="15">
      <c r="A81" s="86">
        <v>3213</v>
      </c>
      <c r="B81" s="56" t="s">
        <v>1266</v>
      </c>
      <c r="C81" s="100">
        <v>5600.83</v>
      </c>
      <c r="D81" s="103">
        <v>6000</v>
      </c>
      <c r="E81" s="103">
        <v>7751.58</v>
      </c>
      <c r="F81" s="58">
        <f t="shared" si="5"/>
        <v>129.193</v>
      </c>
      <c r="G81" s="58">
        <f t="shared" si="6"/>
        <v>138.4005584886526</v>
      </c>
    </row>
    <row r="82" spans="1:7" s="117" customFormat="1" ht="15">
      <c r="A82" s="86">
        <v>3214</v>
      </c>
      <c r="B82" s="56" t="s">
        <v>1395</v>
      </c>
      <c r="C82" s="100">
        <v>6696</v>
      </c>
      <c r="D82" s="103">
        <v>2000</v>
      </c>
      <c r="E82" s="103">
        <v>1620</v>
      </c>
      <c r="F82" s="58">
        <f t="shared" si="5"/>
        <v>81</v>
      </c>
      <c r="G82" s="58">
        <f t="shared" si="6"/>
        <v>24.193548387096776</v>
      </c>
    </row>
    <row r="83" spans="1:7" ht="15">
      <c r="A83" s="44">
        <v>322</v>
      </c>
      <c r="B83" s="43" t="s">
        <v>1314</v>
      </c>
      <c r="C83" s="105">
        <f>SUM(C84:C89)</f>
        <v>74924.93000000001</v>
      </c>
      <c r="D83" s="105">
        <f>SUM(D84:D89)</f>
        <v>54900</v>
      </c>
      <c r="E83" s="105">
        <f>SUM(E84:E89)</f>
        <v>45162.54</v>
      </c>
      <c r="F83" s="105">
        <f>SUM(F84:F89)</f>
        <v>512.6492405511812</v>
      </c>
      <c r="G83" s="58">
        <f t="shared" si="6"/>
        <v>60.27705331189498</v>
      </c>
    </row>
    <row r="84" spans="1:7" ht="15">
      <c r="A84" s="48">
        <v>3221</v>
      </c>
      <c r="B84" s="49" t="s">
        <v>1267</v>
      </c>
      <c r="C84" s="100">
        <v>144.48</v>
      </c>
      <c r="D84" s="103">
        <v>4000</v>
      </c>
      <c r="E84" s="103">
        <v>3650.9</v>
      </c>
      <c r="F84" s="58">
        <f t="shared" si="5"/>
        <v>91.27250000000001</v>
      </c>
      <c r="G84" s="58">
        <f t="shared" si="6"/>
        <v>2526.9241417497233</v>
      </c>
    </row>
    <row r="85" spans="1:7" s="117" customFormat="1" ht="15">
      <c r="A85" s="86">
        <v>3222</v>
      </c>
      <c r="B85" s="56" t="s">
        <v>1268</v>
      </c>
      <c r="C85" s="100">
        <v>38663.07</v>
      </c>
      <c r="D85" s="103">
        <v>12000</v>
      </c>
      <c r="E85" s="103">
        <v>8381.07</v>
      </c>
      <c r="F85" s="58">
        <f t="shared" si="5"/>
        <v>69.84224999999999</v>
      </c>
      <c r="G85" s="58">
        <f t="shared" si="6"/>
        <v>21.677197387584584</v>
      </c>
    </row>
    <row r="86" spans="1:7" s="117" customFormat="1" ht="15">
      <c r="A86" s="86">
        <v>3223</v>
      </c>
      <c r="B86" s="56" t="s">
        <v>1269</v>
      </c>
      <c r="C86" s="100">
        <v>1510.53</v>
      </c>
      <c r="D86" s="103">
        <v>10000</v>
      </c>
      <c r="E86" s="103">
        <v>9973.54</v>
      </c>
      <c r="F86" s="58">
        <f t="shared" si="5"/>
        <v>99.73540000000001</v>
      </c>
      <c r="G86" s="58">
        <f t="shared" si="6"/>
        <v>660.2675881975201</v>
      </c>
    </row>
    <row r="87" spans="1:7" s="117" customFormat="1" ht="15">
      <c r="A87" s="86">
        <v>3224</v>
      </c>
      <c r="B87" s="56" t="s">
        <v>1270</v>
      </c>
      <c r="C87" s="100">
        <v>8081.27</v>
      </c>
      <c r="D87" s="103">
        <v>15000</v>
      </c>
      <c r="E87" s="103">
        <v>12734.4</v>
      </c>
      <c r="F87" s="58">
        <f t="shared" si="5"/>
        <v>84.89599999999999</v>
      </c>
      <c r="G87" s="58">
        <f t="shared" si="6"/>
        <v>157.5791923794156</v>
      </c>
    </row>
    <row r="88" spans="1:7" ht="15">
      <c r="A88" s="48">
        <v>3225</v>
      </c>
      <c r="B88" s="49" t="s">
        <v>1412</v>
      </c>
      <c r="C88" s="100">
        <v>9846.85</v>
      </c>
      <c r="D88" s="103">
        <v>12700</v>
      </c>
      <c r="E88" s="103">
        <v>9298.38</v>
      </c>
      <c r="F88" s="58">
        <f t="shared" si="5"/>
        <v>73.2155905511811</v>
      </c>
      <c r="G88" s="58">
        <f t="shared" si="6"/>
        <v>94.42999537923295</v>
      </c>
    </row>
    <row r="89" spans="1:7" s="117" customFormat="1" ht="15">
      <c r="A89" s="48">
        <v>3227</v>
      </c>
      <c r="B89" s="49" t="s">
        <v>1436</v>
      </c>
      <c r="C89" s="100">
        <v>16678.73</v>
      </c>
      <c r="D89" s="103">
        <v>1200</v>
      </c>
      <c r="E89" s="103">
        <v>1124.25</v>
      </c>
      <c r="F89" s="58">
        <f t="shared" si="5"/>
        <v>93.6875</v>
      </c>
      <c r="G89" s="58">
        <f t="shared" si="6"/>
        <v>6.740621138420012</v>
      </c>
    </row>
    <row r="90" spans="1:7" ht="15">
      <c r="A90" s="44">
        <v>323</v>
      </c>
      <c r="B90" s="50" t="s">
        <v>1315</v>
      </c>
      <c r="C90" s="105">
        <f>SUM(C91:C96)</f>
        <v>742154.9400000001</v>
      </c>
      <c r="D90" s="105">
        <f>SUM(D91:D96)</f>
        <v>768475</v>
      </c>
      <c r="E90" s="105">
        <f>SUM(E91:E96)</f>
        <v>661137.13</v>
      </c>
      <c r="F90" s="58">
        <f t="shared" si="5"/>
        <v>86.03235368749796</v>
      </c>
      <c r="G90" s="58">
        <f t="shared" si="6"/>
        <v>89.083437213259</v>
      </c>
    </row>
    <row r="91" spans="1:7" s="117" customFormat="1" ht="15">
      <c r="A91" s="86">
        <v>3231</v>
      </c>
      <c r="B91" s="56" t="s">
        <v>1271</v>
      </c>
      <c r="C91" s="104">
        <v>11315</v>
      </c>
      <c r="D91" s="103">
        <v>12000</v>
      </c>
      <c r="E91" s="103">
        <v>10684.76</v>
      </c>
      <c r="F91" s="58">
        <f t="shared" si="5"/>
        <v>89.03966666666668</v>
      </c>
      <c r="G91" s="58">
        <f t="shared" si="6"/>
        <v>94.43004860804243</v>
      </c>
    </row>
    <row r="92" spans="1:7" s="117" customFormat="1" ht="15">
      <c r="A92" s="86">
        <v>3232</v>
      </c>
      <c r="B92" s="56" t="s">
        <v>1439</v>
      </c>
      <c r="C92" s="104">
        <v>96158.4</v>
      </c>
      <c r="D92" s="103">
        <v>10000</v>
      </c>
      <c r="E92" s="103">
        <v>6350.29</v>
      </c>
      <c r="F92" s="58">
        <f t="shared" si="5"/>
        <v>63.5029</v>
      </c>
      <c r="G92" s="58">
        <f t="shared" si="6"/>
        <v>6.60398883508877</v>
      </c>
    </row>
    <row r="93" spans="1:7" ht="15">
      <c r="A93" s="48">
        <v>3233</v>
      </c>
      <c r="B93" s="49" t="s">
        <v>1273</v>
      </c>
      <c r="C93" s="100">
        <v>20792.33</v>
      </c>
      <c r="D93" s="103">
        <v>22500</v>
      </c>
      <c r="E93" s="103">
        <v>22535.61</v>
      </c>
      <c r="F93" s="58">
        <f t="shared" si="5"/>
        <v>100.15826666666668</v>
      </c>
      <c r="G93" s="58">
        <f t="shared" si="6"/>
        <v>108.3842455366955</v>
      </c>
    </row>
    <row r="94" spans="1:7" s="117" customFormat="1" ht="15">
      <c r="A94" s="86">
        <v>3235</v>
      </c>
      <c r="B94" s="56" t="s">
        <v>1275</v>
      </c>
      <c r="C94" s="100">
        <v>1870.22</v>
      </c>
      <c r="D94" s="103">
        <v>5600</v>
      </c>
      <c r="E94" s="103">
        <v>5966.45</v>
      </c>
      <c r="F94" s="58">
        <f t="shared" si="5"/>
        <v>106.54375</v>
      </c>
      <c r="G94" s="58">
        <f t="shared" si="6"/>
        <v>319.02396509501557</v>
      </c>
    </row>
    <row r="95" spans="1:7" ht="15">
      <c r="A95" s="48">
        <v>3237</v>
      </c>
      <c r="B95" s="49" t="s">
        <v>1277</v>
      </c>
      <c r="C95" s="100">
        <v>475878.09</v>
      </c>
      <c r="D95" s="103">
        <v>550000</v>
      </c>
      <c r="E95" s="103">
        <v>473110.1</v>
      </c>
      <c r="F95" s="58">
        <f t="shared" si="5"/>
        <v>86.02001818181819</v>
      </c>
      <c r="G95" s="58">
        <f t="shared" si="6"/>
        <v>99.41834052498612</v>
      </c>
    </row>
    <row r="96" spans="1:7" ht="15">
      <c r="A96" s="48">
        <v>3239</v>
      </c>
      <c r="B96" s="49" t="s">
        <v>1279</v>
      </c>
      <c r="C96" s="100">
        <v>136140.9</v>
      </c>
      <c r="D96" s="103">
        <v>168375</v>
      </c>
      <c r="E96" s="103">
        <v>142489.92</v>
      </c>
      <c r="F96" s="58">
        <f t="shared" si="5"/>
        <v>84.62653006681515</v>
      </c>
      <c r="G96" s="58">
        <f t="shared" si="6"/>
        <v>104.66356546783517</v>
      </c>
    </row>
    <row r="97" spans="1:7" s="117" customFormat="1" ht="15">
      <c r="A97" s="44">
        <v>324</v>
      </c>
      <c r="B97" s="43" t="s">
        <v>1321</v>
      </c>
      <c r="C97" s="105">
        <f>C98</f>
        <v>3940</v>
      </c>
      <c r="D97" s="107">
        <f>D98</f>
        <v>7100</v>
      </c>
      <c r="E97" s="107">
        <f>E98</f>
        <v>7065.16</v>
      </c>
      <c r="F97" s="58">
        <f t="shared" si="5"/>
        <v>99.50929577464788</v>
      </c>
      <c r="G97" s="58">
        <f t="shared" si="6"/>
        <v>179.31878172588833</v>
      </c>
    </row>
    <row r="98" spans="1:7" s="117" customFormat="1" ht="15">
      <c r="A98" s="48">
        <v>3241</v>
      </c>
      <c r="B98" s="49" t="s">
        <v>1321</v>
      </c>
      <c r="C98" s="100">
        <v>3940</v>
      </c>
      <c r="D98" s="103">
        <v>7100</v>
      </c>
      <c r="E98" s="103">
        <v>7065.16</v>
      </c>
      <c r="F98" s="58">
        <f t="shared" si="5"/>
        <v>99.50929577464788</v>
      </c>
      <c r="G98" s="58">
        <f t="shared" si="6"/>
        <v>179.31878172588833</v>
      </c>
    </row>
    <row r="99" spans="1:7" ht="15">
      <c r="A99" s="44">
        <v>329</v>
      </c>
      <c r="B99" s="43" t="s">
        <v>1283</v>
      </c>
      <c r="C99" s="105">
        <f>SUM(C100:C103)</f>
        <v>49545.13</v>
      </c>
      <c r="D99" s="105">
        <f>SUM(D100:D103)</f>
        <v>124325</v>
      </c>
      <c r="E99" s="105">
        <f>SUM(E100:E103)</f>
        <v>89220.16</v>
      </c>
      <c r="F99" s="58">
        <f t="shared" si="5"/>
        <v>71.76365171928414</v>
      </c>
      <c r="G99" s="58">
        <f t="shared" si="6"/>
        <v>180.07856675318038</v>
      </c>
    </row>
    <row r="100" spans="1:7" s="117" customFormat="1" ht="15">
      <c r="A100" s="86">
        <v>3292</v>
      </c>
      <c r="B100" s="56" t="s">
        <v>1280</v>
      </c>
      <c r="C100" s="104">
        <v>29637.68</v>
      </c>
      <c r="D100" s="103">
        <v>30000</v>
      </c>
      <c r="E100" s="103">
        <v>28264.39</v>
      </c>
      <c r="F100" s="58">
        <f t="shared" si="5"/>
        <v>94.21463333333332</v>
      </c>
      <c r="G100" s="58">
        <f t="shared" si="6"/>
        <v>95.36640519770778</v>
      </c>
    </row>
    <row r="101" spans="1:7" s="117" customFormat="1" ht="15">
      <c r="A101" s="48">
        <v>3293</v>
      </c>
      <c r="B101" s="49" t="s">
        <v>1289</v>
      </c>
      <c r="C101" s="104">
        <v>7419.5</v>
      </c>
      <c r="D101" s="103">
        <v>20000</v>
      </c>
      <c r="E101" s="103">
        <v>13088</v>
      </c>
      <c r="F101" s="58">
        <f t="shared" si="5"/>
        <v>65.44</v>
      </c>
      <c r="G101" s="58">
        <f t="shared" si="6"/>
        <v>176.40002695599435</v>
      </c>
    </row>
    <row r="102" spans="1:7" ht="15">
      <c r="A102" s="86">
        <v>3294</v>
      </c>
      <c r="B102" s="56" t="s">
        <v>1441</v>
      </c>
      <c r="C102" s="100">
        <v>11788</v>
      </c>
      <c r="D102" s="103">
        <v>11500</v>
      </c>
      <c r="E102" s="103">
        <v>11500</v>
      </c>
      <c r="F102" s="58">
        <f t="shared" si="5"/>
        <v>100</v>
      </c>
      <c r="G102" s="58">
        <f t="shared" si="6"/>
        <v>97.55683746182558</v>
      </c>
    </row>
    <row r="103" spans="1:7" s="117" customFormat="1" ht="15">
      <c r="A103" s="86">
        <v>3299</v>
      </c>
      <c r="B103" s="56" t="s">
        <v>1283</v>
      </c>
      <c r="C103" s="100">
        <v>699.95</v>
      </c>
      <c r="D103" s="103">
        <v>62825</v>
      </c>
      <c r="E103" s="103">
        <v>36367.77</v>
      </c>
      <c r="F103" s="58">
        <f t="shared" si="5"/>
        <v>57.88741742936728</v>
      </c>
      <c r="G103" s="58">
        <f t="shared" si="6"/>
        <v>5195.766840488605</v>
      </c>
    </row>
    <row r="104" spans="1:7" ht="15">
      <c r="A104" s="44">
        <v>34</v>
      </c>
      <c r="B104" s="43" t="s">
        <v>1316</v>
      </c>
      <c r="C104" s="105">
        <f>C105</f>
        <v>3911.2799999999997</v>
      </c>
      <c r="D104" s="105">
        <f>D105</f>
        <v>200</v>
      </c>
      <c r="E104" s="105">
        <f>E105</f>
        <v>256.71</v>
      </c>
      <c r="F104" s="58">
        <f t="shared" si="5"/>
        <v>128.355</v>
      </c>
      <c r="G104" s="58">
        <f t="shared" si="6"/>
        <v>6.563324538258575</v>
      </c>
    </row>
    <row r="105" spans="1:7" ht="15">
      <c r="A105" s="44">
        <v>343</v>
      </c>
      <c r="B105" s="43" t="s">
        <v>1317</v>
      </c>
      <c r="C105" s="105">
        <f>C106+C107+C108</f>
        <v>3911.2799999999997</v>
      </c>
      <c r="D105" s="105">
        <f>D106+D107</f>
        <v>200</v>
      </c>
      <c r="E105" s="105">
        <f>E106+E107</f>
        <v>256.71</v>
      </c>
      <c r="F105" s="58">
        <f t="shared" si="5"/>
        <v>128.355</v>
      </c>
      <c r="G105" s="58">
        <f t="shared" si="6"/>
        <v>6.563324538258575</v>
      </c>
    </row>
    <row r="106" spans="1:7" ht="15">
      <c r="A106" s="48">
        <v>3431</v>
      </c>
      <c r="B106" s="49" t="s">
        <v>1284</v>
      </c>
      <c r="C106" s="100">
        <v>3000</v>
      </c>
      <c r="D106" s="100">
        <v>0</v>
      </c>
      <c r="E106" s="100">
        <v>0</v>
      </c>
      <c r="F106" s="58" t="e">
        <f t="shared" si="5"/>
        <v>#DIV/0!</v>
      </c>
      <c r="G106" s="58">
        <f t="shared" si="6"/>
        <v>0</v>
      </c>
    </row>
    <row r="107" spans="1:7" ht="15">
      <c r="A107" s="48">
        <v>3432</v>
      </c>
      <c r="B107" s="49" t="s">
        <v>1290</v>
      </c>
      <c r="C107" s="100">
        <v>911.16</v>
      </c>
      <c r="D107" s="100">
        <v>200</v>
      </c>
      <c r="E107" s="100">
        <v>256.71</v>
      </c>
      <c r="F107" s="58">
        <f t="shared" si="5"/>
        <v>128.355</v>
      </c>
      <c r="G107" s="58">
        <f t="shared" si="6"/>
        <v>28.17397603055446</v>
      </c>
    </row>
    <row r="108" spans="1:7" s="117" customFormat="1" ht="15">
      <c r="A108" s="48">
        <v>3433</v>
      </c>
      <c r="B108" s="49" t="s">
        <v>1364</v>
      </c>
      <c r="C108" s="100">
        <v>0.12</v>
      </c>
      <c r="D108" s="100"/>
      <c r="E108" s="100"/>
      <c r="F108" s="58"/>
      <c r="G108" s="58"/>
    </row>
    <row r="109" spans="1:7" ht="15">
      <c r="A109" s="44">
        <v>36</v>
      </c>
      <c r="B109" s="43" t="s">
        <v>1352</v>
      </c>
      <c r="C109" s="105">
        <f aca="true" t="shared" si="7" ref="C109:E110">C110</f>
        <v>27369.75</v>
      </c>
      <c r="D109" s="105">
        <f t="shared" si="7"/>
        <v>27220</v>
      </c>
      <c r="E109" s="105">
        <f t="shared" si="7"/>
        <v>39258.05</v>
      </c>
      <c r="F109" s="58">
        <f t="shared" si="5"/>
        <v>144.22501836884643</v>
      </c>
      <c r="G109" s="58">
        <f t="shared" si="6"/>
        <v>143.43591008321232</v>
      </c>
    </row>
    <row r="110" spans="1:7" ht="15">
      <c r="A110" s="44">
        <v>369</v>
      </c>
      <c r="B110" s="43" t="s">
        <v>1291</v>
      </c>
      <c r="C110" s="105">
        <f t="shared" si="7"/>
        <v>27369.75</v>
      </c>
      <c r="D110" s="105">
        <f t="shared" si="7"/>
        <v>27220</v>
      </c>
      <c r="E110" s="105">
        <f t="shared" si="7"/>
        <v>39258.05</v>
      </c>
      <c r="F110" s="58">
        <f t="shared" si="5"/>
        <v>144.22501836884643</v>
      </c>
      <c r="G110" s="58">
        <f t="shared" si="6"/>
        <v>143.43591008321232</v>
      </c>
    </row>
    <row r="111" spans="1:7" ht="15">
      <c r="A111" s="48">
        <v>3691</v>
      </c>
      <c r="B111" s="49" t="s">
        <v>1291</v>
      </c>
      <c r="C111" s="100">
        <v>27369.75</v>
      </c>
      <c r="D111" s="103">
        <v>27220</v>
      </c>
      <c r="E111" s="103">
        <v>39258.05</v>
      </c>
      <c r="F111" s="58">
        <f t="shared" si="5"/>
        <v>144.22501836884643</v>
      </c>
      <c r="G111" s="58">
        <f t="shared" si="6"/>
        <v>143.43591008321232</v>
      </c>
    </row>
    <row r="112" spans="1:7" s="117" customFormat="1" ht="15">
      <c r="A112" s="44">
        <v>37</v>
      </c>
      <c r="B112" s="43" t="s">
        <v>1396</v>
      </c>
      <c r="C112" s="105">
        <f aca="true" t="shared" si="8" ref="C112:E113">C113</f>
        <v>37500</v>
      </c>
      <c r="D112" s="105">
        <f t="shared" si="8"/>
        <v>40300</v>
      </c>
      <c r="E112" s="105">
        <f t="shared" si="8"/>
        <v>40300</v>
      </c>
      <c r="F112" s="58">
        <f t="shared" si="5"/>
        <v>100</v>
      </c>
      <c r="G112" s="58">
        <f t="shared" si="6"/>
        <v>107.46666666666667</v>
      </c>
    </row>
    <row r="113" spans="1:7" s="117" customFormat="1" ht="15">
      <c r="A113" s="44">
        <v>372</v>
      </c>
      <c r="B113" s="43" t="s">
        <v>1397</v>
      </c>
      <c r="C113" s="105">
        <f t="shared" si="8"/>
        <v>37500</v>
      </c>
      <c r="D113" s="105">
        <f t="shared" si="8"/>
        <v>40300</v>
      </c>
      <c r="E113" s="105">
        <f t="shared" si="8"/>
        <v>40300</v>
      </c>
      <c r="F113" s="58">
        <f t="shared" si="5"/>
        <v>100</v>
      </c>
      <c r="G113" s="58">
        <f t="shared" si="6"/>
        <v>107.46666666666667</v>
      </c>
    </row>
    <row r="114" spans="1:7" s="117" customFormat="1" ht="15">
      <c r="A114" s="48">
        <v>3721</v>
      </c>
      <c r="B114" s="49" t="s">
        <v>1396</v>
      </c>
      <c r="C114" s="100">
        <v>37500</v>
      </c>
      <c r="D114" s="100">
        <v>40300</v>
      </c>
      <c r="E114" s="100">
        <v>40300</v>
      </c>
      <c r="F114" s="58">
        <f t="shared" si="5"/>
        <v>100</v>
      </c>
      <c r="G114" s="58">
        <f t="shared" si="6"/>
        <v>107.46666666666667</v>
      </c>
    </row>
    <row r="115" spans="1:7" ht="15">
      <c r="A115" s="44">
        <v>4</v>
      </c>
      <c r="B115" s="43" t="s">
        <v>1318</v>
      </c>
      <c r="C115" s="105">
        <f>C119+C116</f>
        <v>83317.09</v>
      </c>
      <c r="D115" s="105">
        <f>D119+D116</f>
        <v>102920</v>
      </c>
      <c r="E115" s="105">
        <f>E119+E116</f>
        <v>70553.04000000001</v>
      </c>
      <c r="F115" s="58">
        <f t="shared" si="5"/>
        <v>68.55134084726001</v>
      </c>
      <c r="G115" s="58">
        <f t="shared" si="6"/>
        <v>84.68015385558955</v>
      </c>
    </row>
    <row r="116" spans="1:7" s="117" customFormat="1" ht="15">
      <c r="A116" s="44">
        <v>41</v>
      </c>
      <c r="B116" s="43" t="s">
        <v>1442</v>
      </c>
      <c r="C116" s="105">
        <f aca="true" t="shared" si="9" ref="C116:E117">C117</f>
        <v>9375</v>
      </c>
      <c r="D116" s="105">
        <f t="shared" si="9"/>
        <v>34600</v>
      </c>
      <c r="E116" s="105">
        <f t="shared" si="9"/>
        <v>20393.67</v>
      </c>
      <c r="F116" s="58">
        <f t="shared" si="5"/>
        <v>58.94124277456647</v>
      </c>
      <c r="G116" s="58">
        <f t="shared" si="6"/>
        <v>217.53248</v>
      </c>
    </row>
    <row r="117" spans="1:7" s="117" customFormat="1" ht="15">
      <c r="A117" s="44">
        <v>411</v>
      </c>
      <c r="B117" s="43" t="s">
        <v>1443</v>
      </c>
      <c r="C117" s="105">
        <f t="shared" si="9"/>
        <v>9375</v>
      </c>
      <c r="D117" s="105">
        <f t="shared" si="9"/>
        <v>34600</v>
      </c>
      <c r="E117" s="105">
        <f t="shared" si="9"/>
        <v>20393.67</v>
      </c>
      <c r="F117" s="58">
        <f t="shared" si="5"/>
        <v>58.94124277456647</v>
      </c>
      <c r="G117" s="58">
        <f t="shared" si="6"/>
        <v>217.53248</v>
      </c>
    </row>
    <row r="118" spans="1:7" s="117" customFormat="1" ht="15">
      <c r="A118" s="72">
        <v>4123</v>
      </c>
      <c r="B118" s="73" t="s">
        <v>1434</v>
      </c>
      <c r="C118" s="104">
        <v>9375</v>
      </c>
      <c r="D118" s="103">
        <v>34600</v>
      </c>
      <c r="E118" s="103">
        <v>20393.67</v>
      </c>
      <c r="F118" s="58">
        <f t="shared" si="5"/>
        <v>58.94124277456647</v>
      </c>
      <c r="G118" s="58">
        <f t="shared" si="6"/>
        <v>217.53248</v>
      </c>
    </row>
    <row r="119" spans="1:7" ht="15">
      <c r="A119" s="44">
        <v>42</v>
      </c>
      <c r="B119" s="43" t="s">
        <v>1319</v>
      </c>
      <c r="C119" s="105">
        <f>C120+C125</f>
        <v>73942.09</v>
      </c>
      <c r="D119" s="105">
        <f>D120+D125</f>
        <v>68320</v>
      </c>
      <c r="E119" s="105">
        <f>E120+E125</f>
        <v>50159.37</v>
      </c>
      <c r="F119" s="58">
        <f t="shared" si="5"/>
        <v>73.41828161592507</v>
      </c>
      <c r="G119" s="58">
        <f t="shared" si="6"/>
        <v>67.83601870058042</v>
      </c>
    </row>
    <row r="120" spans="1:7" ht="15">
      <c r="A120" s="44">
        <v>422</v>
      </c>
      <c r="B120" s="43" t="s">
        <v>1320</v>
      </c>
      <c r="C120" s="105">
        <f>SUM(C121:C124)</f>
        <v>73192.09</v>
      </c>
      <c r="D120" s="105">
        <f>SUM(D121:D124)</f>
        <v>66320</v>
      </c>
      <c r="E120" s="105">
        <f>SUM(E121:E124)</f>
        <v>48298.520000000004</v>
      </c>
      <c r="F120" s="58">
        <f t="shared" si="5"/>
        <v>72.82647768395658</v>
      </c>
      <c r="G120" s="58">
        <f t="shared" si="6"/>
        <v>65.98871544725668</v>
      </c>
    </row>
    <row r="121" spans="1:7" ht="15">
      <c r="A121" s="48">
        <v>4221</v>
      </c>
      <c r="B121" s="49" t="s">
        <v>1285</v>
      </c>
      <c r="C121" s="100">
        <v>58347.09</v>
      </c>
      <c r="D121" s="103">
        <v>20500</v>
      </c>
      <c r="E121" s="103">
        <v>20344.88</v>
      </c>
      <c r="F121" s="58">
        <f t="shared" si="5"/>
        <v>99.24331707317073</v>
      </c>
      <c r="G121" s="58">
        <f t="shared" si="6"/>
        <v>34.86871410382249</v>
      </c>
    </row>
    <row r="122" spans="1:7" ht="15">
      <c r="A122" s="48">
        <v>4222</v>
      </c>
      <c r="B122" s="46" t="s">
        <v>1292</v>
      </c>
      <c r="C122" s="100">
        <v>0</v>
      </c>
      <c r="D122" s="103">
        <v>22650</v>
      </c>
      <c r="E122" s="103">
        <v>22650</v>
      </c>
      <c r="F122" s="58">
        <f t="shared" si="5"/>
        <v>100</v>
      </c>
      <c r="G122" s="58" t="e">
        <f t="shared" si="6"/>
        <v>#DIV/0!</v>
      </c>
    </row>
    <row r="123" spans="1:7" s="117" customFormat="1" ht="15">
      <c r="A123" s="86">
        <v>4224</v>
      </c>
      <c r="B123" s="56" t="s">
        <v>1440</v>
      </c>
      <c r="C123" s="100"/>
      <c r="D123" s="103">
        <v>17670</v>
      </c>
      <c r="E123" s="103"/>
      <c r="F123" s="58">
        <f t="shared" si="5"/>
        <v>0</v>
      </c>
      <c r="G123" s="58" t="e">
        <f t="shared" si="6"/>
        <v>#DIV/0!</v>
      </c>
    </row>
    <row r="124" spans="1:7" s="117" customFormat="1" ht="15">
      <c r="A124" s="86">
        <v>4225</v>
      </c>
      <c r="B124" s="56" t="s">
        <v>1294</v>
      </c>
      <c r="C124" s="100">
        <v>14845</v>
      </c>
      <c r="D124" s="103">
        <v>5500</v>
      </c>
      <c r="E124" s="103">
        <v>5303.64</v>
      </c>
      <c r="F124" s="58">
        <f t="shared" si="5"/>
        <v>96.42981818181818</v>
      </c>
      <c r="G124" s="58">
        <f t="shared" si="6"/>
        <v>35.726776692489054</v>
      </c>
    </row>
    <row r="125" spans="1:7" s="117" customFormat="1" ht="15">
      <c r="A125" s="44">
        <v>424</v>
      </c>
      <c r="B125" s="43" t="s">
        <v>1455</v>
      </c>
      <c r="C125" s="105">
        <f>C126</f>
        <v>750</v>
      </c>
      <c r="D125" s="105">
        <f>D126</f>
        <v>2000</v>
      </c>
      <c r="E125" s="105">
        <f>E126</f>
        <v>1860.85</v>
      </c>
      <c r="F125" s="58">
        <f t="shared" si="5"/>
        <v>93.04249999999999</v>
      </c>
      <c r="G125" s="58">
        <f t="shared" si="6"/>
        <v>248.11333333333332</v>
      </c>
    </row>
    <row r="126" spans="1:7" s="117" customFormat="1" ht="15">
      <c r="A126" s="86">
        <v>4241</v>
      </c>
      <c r="B126" s="56" t="s">
        <v>1435</v>
      </c>
      <c r="C126" s="100">
        <v>750</v>
      </c>
      <c r="D126" s="103">
        <v>2000</v>
      </c>
      <c r="E126" s="103">
        <v>1860.85</v>
      </c>
      <c r="F126" s="58">
        <f t="shared" si="5"/>
        <v>93.04249999999999</v>
      </c>
      <c r="G126" s="58">
        <f t="shared" si="6"/>
        <v>248.11333333333332</v>
      </c>
    </row>
    <row r="127" spans="1:7" ht="17.25" customHeight="1">
      <c r="A127" s="51"/>
      <c r="B127" s="51" t="s">
        <v>1262</v>
      </c>
      <c r="C127" s="102">
        <f>C128+C183</f>
        <v>4088146.7700000005</v>
      </c>
      <c r="D127" s="102">
        <f>D128+D183</f>
        <v>2613590</v>
      </c>
      <c r="E127" s="102">
        <f>E128+E183</f>
        <v>2653144.94</v>
      </c>
      <c r="F127" s="63">
        <f>E127/D127*100</f>
        <v>101.51343324698978</v>
      </c>
      <c r="G127" s="63">
        <f>E127/C127*100</f>
        <v>64.89847574626093</v>
      </c>
    </row>
    <row r="128" spans="1:7" ht="15">
      <c r="A128" s="44">
        <v>3</v>
      </c>
      <c r="B128" s="43" t="s">
        <v>1325</v>
      </c>
      <c r="C128" s="105">
        <f>C129+C136+C167+C173+C179+C176</f>
        <v>3479710.5300000003</v>
      </c>
      <c r="D128" s="105">
        <f>D129+D136+D167+D173+D179+D176</f>
        <v>2418590</v>
      </c>
      <c r="E128" s="105">
        <f>E129+E136+E167+E173+E179+E176</f>
        <v>2453789.4</v>
      </c>
      <c r="F128" s="58">
        <f>E128/D128*100</f>
        <v>101.45536862386761</v>
      </c>
      <c r="G128" s="58">
        <f>E128/C128*100</f>
        <v>70.517055336784</v>
      </c>
    </row>
    <row r="129" spans="1:7" ht="15">
      <c r="A129" s="44">
        <v>31</v>
      </c>
      <c r="B129" s="43" t="s">
        <v>1296</v>
      </c>
      <c r="C129" s="105">
        <f>C130+C132+C134</f>
        <v>1624015.2600000002</v>
      </c>
      <c r="D129" s="105">
        <f>D130+D132+D134</f>
        <v>572300</v>
      </c>
      <c r="E129" s="105">
        <f>E130+E132+E134</f>
        <v>551867.2100000001</v>
      </c>
      <c r="F129" s="58">
        <f aca="true" t="shared" si="10" ref="F129:F193">E129/D129*100</f>
        <v>96.42970644766731</v>
      </c>
      <c r="G129" s="58">
        <f aca="true" t="shared" si="11" ref="G129:G193">E129/C129*100</f>
        <v>33.981651748764975</v>
      </c>
    </row>
    <row r="130" spans="1:7" ht="15">
      <c r="A130" s="44">
        <v>311</v>
      </c>
      <c r="B130" s="43" t="s">
        <v>1287</v>
      </c>
      <c r="C130" s="105">
        <f>C131</f>
        <v>1253593.3</v>
      </c>
      <c r="D130" s="105">
        <f>D131</f>
        <v>275000</v>
      </c>
      <c r="E130" s="105">
        <f>E131</f>
        <v>270727.65</v>
      </c>
      <c r="F130" s="58">
        <f t="shared" si="10"/>
        <v>98.44641818181819</v>
      </c>
      <c r="G130" s="58">
        <f t="shared" si="11"/>
        <v>21.596130898274584</v>
      </c>
    </row>
    <row r="131" spans="1:7" ht="15">
      <c r="A131" s="48">
        <v>3111</v>
      </c>
      <c r="B131" s="49" t="s">
        <v>1287</v>
      </c>
      <c r="C131" s="100">
        <v>1253593.3</v>
      </c>
      <c r="D131" s="103">
        <v>275000</v>
      </c>
      <c r="E131" s="103">
        <v>270727.65</v>
      </c>
      <c r="F131" s="58">
        <f t="shared" si="10"/>
        <v>98.44641818181819</v>
      </c>
      <c r="G131" s="58">
        <f t="shared" si="11"/>
        <v>21.596130898274584</v>
      </c>
    </row>
    <row r="132" spans="1:7" ht="15">
      <c r="A132" s="44">
        <v>312</v>
      </c>
      <c r="B132" s="43" t="s">
        <v>1288</v>
      </c>
      <c r="C132" s="105">
        <f>C133</f>
        <v>163353.86</v>
      </c>
      <c r="D132" s="105">
        <f>D133</f>
        <v>250000</v>
      </c>
      <c r="E132" s="105">
        <f>E133</f>
        <v>236469.54</v>
      </c>
      <c r="F132" s="58">
        <f t="shared" si="10"/>
        <v>94.587816</v>
      </c>
      <c r="G132" s="58">
        <f t="shared" si="11"/>
        <v>144.7590770123216</v>
      </c>
    </row>
    <row r="133" spans="1:7" ht="15">
      <c r="A133" s="48">
        <v>3121</v>
      </c>
      <c r="B133" s="49" t="s">
        <v>1288</v>
      </c>
      <c r="C133" s="100">
        <v>163353.86</v>
      </c>
      <c r="D133" s="103">
        <v>250000</v>
      </c>
      <c r="E133" s="123">
        <v>236469.54</v>
      </c>
      <c r="F133" s="58">
        <f t="shared" si="10"/>
        <v>94.587816</v>
      </c>
      <c r="G133" s="58">
        <f t="shared" si="11"/>
        <v>144.7590770123216</v>
      </c>
    </row>
    <row r="134" spans="1:7" ht="15">
      <c r="A134" s="44">
        <v>313</v>
      </c>
      <c r="B134" s="43" t="s">
        <v>1298</v>
      </c>
      <c r="C134" s="105">
        <f>C135</f>
        <v>207068.1</v>
      </c>
      <c r="D134" s="105">
        <f>D135</f>
        <v>47300</v>
      </c>
      <c r="E134" s="105">
        <f>E135</f>
        <v>44670.02</v>
      </c>
      <c r="F134" s="58">
        <f t="shared" si="10"/>
        <v>94.43978858350951</v>
      </c>
      <c r="G134" s="58">
        <f t="shared" si="11"/>
        <v>21.57262272653296</v>
      </c>
    </row>
    <row r="135" spans="1:7" ht="15">
      <c r="A135" s="48">
        <v>3132</v>
      </c>
      <c r="B135" s="49" t="s">
        <v>1324</v>
      </c>
      <c r="C135" s="100">
        <v>207068.1</v>
      </c>
      <c r="D135" s="103">
        <v>47300</v>
      </c>
      <c r="E135" s="103">
        <v>44670.02</v>
      </c>
      <c r="F135" s="58">
        <f t="shared" si="10"/>
        <v>94.43978858350951</v>
      </c>
      <c r="G135" s="58">
        <f t="shared" si="11"/>
        <v>21.57262272653296</v>
      </c>
    </row>
    <row r="136" spans="1:9" ht="15">
      <c r="A136" s="44">
        <v>32</v>
      </c>
      <c r="B136" s="43" t="s">
        <v>1299</v>
      </c>
      <c r="C136" s="105">
        <f>C137+C142+C149+C161+C159</f>
        <v>1740315.7999999998</v>
      </c>
      <c r="D136" s="105">
        <f>D137+D142+D149+D159+D161</f>
        <v>1708660</v>
      </c>
      <c r="E136" s="105">
        <f>E137+E142+E149+E161+E159</f>
        <v>1758586.63</v>
      </c>
      <c r="F136" s="58">
        <f t="shared" si="10"/>
        <v>102.92197570025634</v>
      </c>
      <c r="G136" s="58">
        <f t="shared" si="11"/>
        <v>101.0498571581089</v>
      </c>
      <c r="I136" s="116"/>
    </row>
    <row r="137" spans="1:7" ht="15">
      <c r="A137" s="44">
        <v>321</v>
      </c>
      <c r="B137" s="43" t="s">
        <v>1300</v>
      </c>
      <c r="C137" s="105">
        <f>C138+C139+C140+C141</f>
        <v>169510.68</v>
      </c>
      <c r="D137" s="105">
        <f>D138+D139+D140+D141</f>
        <v>139600</v>
      </c>
      <c r="E137" s="105">
        <f>E138+E139+E140+E141</f>
        <v>144512.59</v>
      </c>
      <c r="F137" s="58">
        <f t="shared" si="10"/>
        <v>103.51904727793698</v>
      </c>
      <c r="G137" s="58">
        <f t="shared" si="11"/>
        <v>85.2527935112997</v>
      </c>
    </row>
    <row r="138" spans="1:7" ht="15">
      <c r="A138" s="48">
        <v>3211</v>
      </c>
      <c r="B138" s="49" t="s">
        <v>1264</v>
      </c>
      <c r="C138" s="100">
        <v>76410.47</v>
      </c>
      <c r="D138" s="103">
        <v>70000</v>
      </c>
      <c r="E138" s="103">
        <v>74131.86</v>
      </c>
      <c r="F138" s="58">
        <f t="shared" si="10"/>
        <v>105.90265714285714</v>
      </c>
      <c r="G138" s="58">
        <f t="shared" si="11"/>
        <v>97.01793484583985</v>
      </c>
    </row>
    <row r="139" spans="1:7" ht="15">
      <c r="A139" s="48">
        <v>3212</v>
      </c>
      <c r="B139" s="49" t="s">
        <v>1265</v>
      </c>
      <c r="C139" s="100">
        <v>13650.48</v>
      </c>
      <c r="D139" s="103">
        <v>2600</v>
      </c>
      <c r="E139" s="103">
        <v>2718.14</v>
      </c>
      <c r="F139" s="58">
        <f t="shared" si="10"/>
        <v>104.54384615384615</v>
      </c>
      <c r="G139" s="58">
        <f t="shared" si="11"/>
        <v>19.912413336380844</v>
      </c>
    </row>
    <row r="140" spans="1:7" ht="15">
      <c r="A140" s="48">
        <v>3213</v>
      </c>
      <c r="B140" s="49" t="s">
        <v>1266</v>
      </c>
      <c r="C140" s="100">
        <v>79365.73</v>
      </c>
      <c r="D140" s="103">
        <v>66500</v>
      </c>
      <c r="E140" s="103">
        <v>66891.59</v>
      </c>
      <c r="F140" s="58">
        <f t="shared" si="10"/>
        <v>100.58885714285715</v>
      </c>
      <c r="G140" s="58">
        <f t="shared" si="11"/>
        <v>84.28271245032333</v>
      </c>
    </row>
    <row r="141" spans="1:7" s="117" customFormat="1" ht="15">
      <c r="A141" s="86">
        <v>3214</v>
      </c>
      <c r="B141" s="56" t="s">
        <v>1395</v>
      </c>
      <c r="C141" s="100">
        <v>84</v>
      </c>
      <c r="D141" s="103">
        <v>500</v>
      </c>
      <c r="E141" s="103">
        <v>771</v>
      </c>
      <c r="F141" s="58">
        <f t="shared" si="10"/>
        <v>154.20000000000002</v>
      </c>
      <c r="G141" s="58">
        <f t="shared" si="11"/>
        <v>917.8571428571429</v>
      </c>
    </row>
    <row r="142" spans="1:7" ht="15">
      <c r="A142" s="44">
        <v>322</v>
      </c>
      <c r="B142" s="43" t="s">
        <v>1314</v>
      </c>
      <c r="C142" s="105">
        <f>SUM(C143:C148)</f>
        <v>534030.44</v>
      </c>
      <c r="D142" s="105">
        <f>SUM(D143:D148)</f>
        <v>409750</v>
      </c>
      <c r="E142" s="105">
        <f>SUM(E143:E148)</f>
        <v>505858.73</v>
      </c>
      <c r="F142" s="58">
        <f t="shared" si="10"/>
        <v>123.4554557657108</v>
      </c>
      <c r="G142" s="58">
        <f t="shared" si="11"/>
        <v>94.72469958828565</v>
      </c>
    </row>
    <row r="143" spans="1:7" ht="15">
      <c r="A143" s="48">
        <v>3221</v>
      </c>
      <c r="B143" s="49" t="s">
        <v>1267</v>
      </c>
      <c r="C143" s="100">
        <v>82456.49</v>
      </c>
      <c r="D143" s="103">
        <v>106850</v>
      </c>
      <c r="E143" s="103">
        <v>107790.29</v>
      </c>
      <c r="F143" s="58">
        <f t="shared" si="10"/>
        <v>100.88000935891436</v>
      </c>
      <c r="G143" s="58">
        <f t="shared" si="11"/>
        <v>130.72383993061067</v>
      </c>
    </row>
    <row r="144" spans="1:7" ht="15">
      <c r="A144" s="48">
        <v>3222</v>
      </c>
      <c r="B144" s="49" t="s">
        <v>1268</v>
      </c>
      <c r="C144" s="100">
        <v>116893.46</v>
      </c>
      <c r="D144" s="103">
        <v>5000</v>
      </c>
      <c r="E144" s="103">
        <v>2519.01</v>
      </c>
      <c r="F144" s="58">
        <f t="shared" si="10"/>
        <v>50.38020000000001</v>
      </c>
      <c r="G144" s="58">
        <f t="shared" si="11"/>
        <v>2.154962304991229</v>
      </c>
    </row>
    <row r="145" spans="1:7" s="117" customFormat="1" ht="15">
      <c r="A145" s="48">
        <v>3223</v>
      </c>
      <c r="B145" s="49" t="s">
        <v>1269</v>
      </c>
      <c r="C145" s="100">
        <v>300000</v>
      </c>
      <c r="D145" s="103">
        <v>250000</v>
      </c>
      <c r="E145" s="103">
        <v>351855.42</v>
      </c>
      <c r="F145" s="58">
        <f t="shared" si="10"/>
        <v>140.742168</v>
      </c>
      <c r="G145" s="58">
        <f t="shared" si="11"/>
        <v>117.28513999999998</v>
      </c>
    </row>
    <row r="146" spans="1:7" ht="15.75" customHeight="1">
      <c r="A146" s="48">
        <v>3224</v>
      </c>
      <c r="B146" s="77" t="s">
        <v>1270</v>
      </c>
      <c r="C146" s="100">
        <v>19511.11</v>
      </c>
      <c r="D146" s="103">
        <v>25000</v>
      </c>
      <c r="E146" s="103">
        <v>21076.92</v>
      </c>
      <c r="F146" s="58">
        <f t="shared" si="10"/>
        <v>84.30767999999999</v>
      </c>
      <c r="G146" s="58">
        <f t="shared" si="11"/>
        <v>108.0252225526892</v>
      </c>
    </row>
    <row r="147" spans="1:7" ht="15">
      <c r="A147" s="48">
        <v>3225</v>
      </c>
      <c r="B147" s="49" t="s">
        <v>1411</v>
      </c>
      <c r="C147" s="100">
        <v>11494.04</v>
      </c>
      <c r="D147" s="103">
        <v>17400</v>
      </c>
      <c r="E147" s="103">
        <v>17117.09</v>
      </c>
      <c r="F147" s="58">
        <f t="shared" si="10"/>
        <v>98.37408045977011</v>
      </c>
      <c r="G147" s="58">
        <f t="shared" si="11"/>
        <v>148.92144102508777</v>
      </c>
    </row>
    <row r="148" spans="1:7" s="117" customFormat="1" ht="15">
      <c r="A148" s="86">
        <v>3227</v>
      </c>
      <c r="B148" s="56" t="s">
        <v>1437</v>
      </c>
      <c r="C148" s="100">
        <v>3675.34</v>
      </c>
      <c r="D148" s="103">
        <v>5500</v>
      </c>
      <c r="E148" s="103">
        <v>5500</v>
      </c>
      <c r="F148" s="58">
        <f t="shared" si="10"/>
        <v>100</v>
      </c>
      <c r="G148" s="58">
        <f t="shared" si="11"/>
        <v>149.6460191438071</v>
      </c>
    </row>
    <row r="149" spans="1:7" ht="15">
      <c r="A149" s="44">
        <v>323</v>
      </c>
      <c r="B149" s="43" t="s">
        <v>1315</v>
      </c>
      <c r="C149" s="105">
        <f>SUM(C150:C158)</f>
        <v>819534.2000000001</v>
      </c>
      <c r="D149" s="105">
        <f>SUM(D150:D158)</f>
        <v>888510</v>
      </c>
      <c r="E149" s="105">
        <f>SUM(E150:E158)</f>
        <v>804739.6900000001</v>
      </c>
      <c r="F149" s="58">
        <f t="shared" si="10"/>
        <v>90.57182136385636</v>
      </c>
      <c r="G149" s="58">
        <f t="shared" si="11"/>
        <v>98.19476600244383</v>
      </c>
    </row>
    <row r="150" spans="1:7" ht="15">
      <c r="A150" s="48">
        <v>3231</v>
      </c>
      <c r="B150" s="49" t="s">
        <v>1271</v>
      </c>
      <c r="C150" s="100">
        <v>36217.14</v>
      </c>
      <c r="D150" s="103">
        <v>100000</v>
      </c>
      <c r="E150" s="103">
        <v>90005.34</v>
      </c>
      <c r="F150" s="58">
        <f t="shared" si="10"/>
        <v>90.00534</v>
      </c>
      <c r="G150" s="58">
        <f t="shared" si="11"/>
        <v>248.51586845344497</v>
      </c>
    </row>
    <row r="151" spans="1:7" ht="15">
      <c r="A151" s="48">
        <v>3232</v>
      </c>
      <c r="B151" s="49" t="s">
        <v>1272</v>
      </c>
      <c r="C151" s="100">
        <v>160279.63</v>
      </c>
      <c r="D151" s="103">
        <v>120000</v>
      </c>
      <c r="E151" s="103">
        <v>88711.74</v>
      </c>
      <c r="F151" s="58">
        <f t="shared" si="10"/>
        <v>73.92645</v>
      </c>
      <c r="G151" s="58">
        <f t="shared" si="11"/>
        <v>55.348106306459535</v>
      </c>
    </row>
    <row r="152" spans="1:7" ht="15">
      <c r="A152" s="48">
        <v>3233</v>
      </c>
      <c r="B152" s="49" t="s">
        <v>1273</v>
      </c>
      <c r="C152" s="100">
        <v>131904.6</v>
      </c>
      <c r="D152" s="103">
        <v>130000</v>
      </c>
      <c r="E152" s="103">
        <v>127664.26</v>
      </c>
      <c r="F152" s="58">
        <f t="shared" si="10"/>
        <v>98.20327692307693</v>
      </c>
      <c r="G152" s="58">
        <f t="shared" si="11"/>
        <v>96.78529785921036</v>
      </c>
    </row>
    <row r="153" spans="1:7" ht="15">
      <c r="A153" s="48">
        <v>3234</v>
      </c>
      <c r="B153" s="49" t="s">
        <v>1274</v>
      </c>
      <c r="C153" s="100">
        <v>46178.43</v>
      </c>
      <c r="D153" s="103">
        <v>63510</v>
      </c>
      <c r="E153" s="103">
        <v>56954.57</v>
      </c>
      <c r="F153" s="58">
        <f t="shared" si="10"/>
        <v>89.67811368288459</v>
      </c>
      <c r="G153" s="58">
        <f t="shared" si="11"/>
        <v>123.33587348032404</v>
      </c>
    </row>
    <row r="154" spans="1:7" s="117" customFormat="1" ht="15">
      <c r="A154" s="86">
        <v>3235</v>
      </c>
      <c r="B154" s="56" t="s">
        <v>1275</v>
      </c>
      <c r="C154" s="100">
        <v>99055.24</v>
      </c>
      <c r="D154" s="103">
        <v>80000</v>
      </c>
      <c r="E154" s="103">
        <v>64291.85</v>
      </c>
      <c r="F154" s="58">
        <f t="shared" si="10"/>
        <v>80.3648125</v>
      </c>
      <c r="G154" s="58">
        <f t="shared" si="11"/>
        <v>64.9050469212936</v>
      </c>
    </row>
    <row r="155" spans="1:7" ht="15">
      <c r="A155" s="48">
        <v>3236</v>
      </c>
      <c r="B155" s="49" t="s">
        <v>1276</v>
      </c>
      <c r="C155" s="100">
        <v>6208.5</v>
      </c>
      <c r="D155" s="103"/>
      <c r="E155" s="103">
        <v>3790</v>
      </c>
      <c r="F155" s="58" t="e">
        <f t="shared" si="10"/>
        <v>#DIV/0!</v>
      </c>
      <c r="G155" s="58">
        <f t="shared" si="11"/>
        <v>61.0453410646694</v>
      </c>
    </row>
    <row r="156" spans="1:7" ht="15">
      <c r="A156" s="48">
        <v>3237</v>
      </c>
      <c r="B156" s="49" t="s">
        <v>1277</v>
      </c>
      <c r="C156" s="103">
        <v>221294.51</v>
      </c>
      <c r="D156" s="103">
        <v>230000</v>
      </c>
      <c r="E156" s="103">
        <v>215571.04</v>
      </c>
      <c r="F156" s="58">
        <f t="shared" si="10"/>
        <v>93.72653913043479</v>
      </c>
      <c r="G156" s="58">
        <f t="shared" si="11"/>
        <v>97.41364121504867</v>
      </c>
    </row>
    <row r="157" spans="1:7" ht="15">
      <c r="A157" s="48">
        <v>3238</v>
      </c>
      <c r="B157" s="49" t="s">
        <v>1278</v>
      </c>
      <c r="C157" s="100">
        <v>19414.43</v>
      </c>
      <c r="D157" s="103">
        <v>15000</v>
      </c>
      <c r="E157" s="103">
        <v>10865.8</v>
      </c>
      <c r="F157" s="58">
        <f t="shared" si="10"/>
        <v>72.43866666666666</v>
      </c>
      <c r="G157" s="58">
        <f t="shared" si="11"/>
        <v>55.967648805553395</v>
      </c>
    </row>
    <row r="158" spans="1:7" ht="15">
      <c r="A158" s="48">
        <v>3239</v>
      </c>
      <c r="B158" s="49" t="s">
        <v>1279</v>
      </c>
      <c r="C158" s="100">
        <v>98981.72</v>
      </c>
      <c r="D158" s="103">
        <v>150000</v>
      </c>
      <c r="E158" s="103">
        <v>146885.09</v>
      </c>
      <c r="F158" s="58">
        <f t="shared" si="10"/>
        <v>97.92339333333334</v>
      </c>
      <c r="G158" s="58">
        <f t="shared" si="11"/>
        <v>148.3961786075247</v>
      </c>
    </row>
    <row r="159" spans="1:7" ht="15">
      <c r="A159" s="44">
        <v>324</v>
      </c>
      <c r="B159" s="43" t="s">
        <v>1321</v>
      </c>
      <c r="C159" s="105">
        <f>SUM(C160)</f>
        <v>5986.3</v>
      </c>
      <c r="D159" s="105">
        <f>SUM(D160)</f>
        <v>11000</v>
      </c>
      <c r="E159" s="105">
        <f>SUM(E160)</f>
        <v>10959.42</v>
      </c>
      <c r="F159" s="58">
        <f t="shared" si="10"/>
        <v>99.63109090909091</v>
      </c>
      <c r="G159" s="58">
        <f t="shared" si="11"/>
        <v>183.07502129863187</v>
      </c>
    </row>
    <row r="160" spans="1:7" ht="15">
      <c r="A160" s="48">
        <v>3241</v>
      </c>
      <c r="B160" s="49" t="s">
        <v>1321</v>
      </c>
      <c r="C160" s="100">
        <v>5986.3</v>
      </c>
      <c r="D160" s="87">
        <v>11000</v>
      </c>
      <c r="E160" s="87">
        <v>10959.42</v>
      </c>
      <c r="F160" s="58">
        <f t="shared" si="10"/>
        <v>99.63109090909091</v>
      </c>
      <c r="G160" s="58">
        <f t="shared" si="11"/>
        <v>183.07502129863187</v>
      </c>
    </row>
    <row r="161" spans="1:7" ht="15">
      <c r="A161" s="44">
        <v>329</v>
      </c>
      <c r="B161" s="43" t="s">
        <v>1283</v>
      </c>
      <c r="C161" s="105">
        <f>SUM(C162:C166)</f>
        <v>211254.18</v>
      </c>
      <c r="D161" s="105">
        <f>SUM(D162:D166)</f>
        <v>259800</v>
      </c>
      <c r="E161" s="105">
        <f>SUM(E162:E166)</f>
        <v>292516.2</v>
      </c>
      <c r="F161" s="58">
        <f t="shared" si="10"/>
        <v>112.59284064665127</v>
      </c>
      <c r="G161" s="58">
        <f t="shared" si="11"/>
        <v>138.4664672670619</v>
      </c>
    </row>
    <row r="162" spans="1:7" ht="15">
      <c r="A162" s="48">
        <v>3292</v>
      </c>
      <c r="B162" s="49" t="s">
        <v>1280</v>
      </c>
      <c r="C162" s="100">
        <v>80009.88</v>
      </c>
      <c r="D162" s="103">
        <v>78300</v>
      </c>
      <c r="E162" s="103">
        <v>76266.19</v>
      </c>
      <c r="F162" s="58">
        <f t="shared" si="10"/>
        <v>97.40254150702427</v>
      </c>
      <c r="G162" s="58">
        <f t="shared" si="11"/>
        <v>95.32096536077795</v>
      </c>
    </row>
    <row r="163" spans="1:7" ht="15">
      <c r="A163" s="48">
        <v>3293</v>
      </c>
      <c r="B163" s="49" t="s">
        <v>1289</v>
      </c>
      <c r="C163" s="100">
        <v>1006.06</v>
      </c>
      <c r="D163" s="103">
        <v>55000</v>
      </c>
      <c r="E163" s="103">
        <v>58710.88</v>
      </c>
      <c r="F163" s="58">
        <f t="shared" si="10"/>
        <v>106.74705454545455</v>
      </c>
      <c r="G163" s="58">
        <f t="shared" si="11"/>
        <v>5835.723515496094</v>
      </c>
    </row>
    <row r="164" spans="1:7" ht="15">
      <c r="A164" s="48">
        <v>3294</v>
      </c>
      <c r="B164" s="49" t="s">
        <v>1281</v>
      </c>
      <c r="C164" s="100">
        <v>20606.08</v>
      </c>
      <c r="D164" s="103">
        <v>26100</v>
      </c>
      <c r="E164" s="103">
        <v>24953.04</v>
      </c>
      <c r="F164" s="58">
        <f t="shared" si="10"/>
        <v>95.60551724137932</v>
      </c>
      <c r="G164" s="58">
        <f t="shared" si="11"/>
        <v>121.09552132186228</v>
      </c>
    </row>
    <row r="165" spans="1:7" ht="15">
      <c r="A165" s="48">
        <v>3295</v>
      </c>
      <c r="B165" s="49" t="s">
        <v>1282</v>
      </c>
      <c r="C165" s="100">
        <v>2550</v>
      </c>
      <c r="D165" s="103">
        <v>10400</v>
      </c>
      <c r="E165" s="103">
        <v>10225</v>
      </c>
      <c r="F165" s="58">
        <f t="shared" si="10"/>
        <v>98.3173076923077</v>
      </c>
      <c r="G165" s="58">
        <f t="shared" si="11"/>
        <v>400.98039215686276</v>
      </c>
    </row>
    <row r="166" spans="1:7" ht="15">
      <c r="A166" s="48">
        <v>3299</v>
      </c>
      <c r="B166" s="49" t="s">
        <v>1283</v>
      </c>
      <c r="C166" s="100">
        <v>107082.16</v>
      </c>
      <c r="D166" s="103">
        <v>90000</v>
      </c>
      <c r="E166" s="103">
        <v>122361.09</v>
      </c>
      <c r="F166" s="58">
        <f t="shared" si="10"/>
        <v>135.95676666666668</v>
      </c>
      <c r="G166" s="58">
        <f t="shared" si="11"/>
        <v>114.26841782048476</v>
      </c>
    </row>
    <row r="167" spans="1:7" ht="15">
      <c r="A167" s="44">
        <v>34</v>
      </c>
      <c r="B167" s="43" t="s">
        <v>1316</v>
      </c>
      <c r="C167" s="105">
        <f>C168</f>
        <v>11430.74</v>
      </c>
      <c r="D167" s="105">
        <f>D168</f>
        <v>15940</v>
      </c>
      <c r="E167" s="105">
        <f>E168</f>
        <v>16360.31</v>
      </c>
      <c r="F167" s="58">
        <f t="shared" si="10"/>
        <v>102.63682559598494</v>
      </c>
      <c r="G167" s="58">
        <f t="shared" si="11"/>
        <v>143.12555442604767</v>
      </c>
    </row>
    <row r="168" spans="1:7" ht="15">
      <c r="A168" s="44">
        <v>343</v>
      </c>
      <c r="B168" s="43" t="s">
        <v>1317</v>
      </c>
      <c r="C168" s="105">
        <f>C169+C170+C172+C171</f>
        <v>11430.74</v>
      </c>
      <c r="D168" s="105">
        <f>D169+D170+D172+D171</f>
        <v>15940</v>
      </c>
      <c r="E168" s="105">
        <f>E169+E170+E172+E171</f>
        <v>16360.31</v>
      </c>
      <c r="F168" s="58">
        <f t="shared" si="10"/>
        <v>102.63682559598494</v>
      </c>
      <c r="G168" s="58">
        <f t="shared" si="11"/>
        <v>143.12555442604767</v>
      </c>
    </row>
    <row r="169" spans="1:7" ht="15">
      <c r="A169" s="48">
        <v>3431</v>
      </c>
      <c r="B169" s="49" t="s">
        <v>1284</v>
      </c>
      <c r="C169" s="100">
        <v>5823.39</v>
      </c>
      <c r="D169" s="100">
        <v>8400</v>
      </c>
      <c r="E169" s="100">
        <v>8365.41</v>
      </c>
      <c r="F169" s="58">
        <f t="shared" si="10"/>
        <v>99.58821428571429</v>
      </c>
      <c r="G169" s="58">
        <f t="shared" si="11"/>
        <v>143.6518934847228</v>
      </c>
    </row>
    <row r="170" spans="1:7" ht="15">
      <c r="A170" s="48">
        <v>3432</v>
      </c>
      <c r="B170" s="49" t="s">
        <v>1290</v>
      </c>
      <c r="C170" s="100">
        <v>5524.79</v>
      </c>
      <c r="D170" s="100">
        <v>7500</v>
      </c>
      <c r="E170" s="100">
        <v>7754.51</v>
      </c>
      <c r="F170" s="58">
        <f t="shared" si="10"/>
        <v>103.39346666666667</v>
      </c>
      <c r="G170" s="58">
        <f t="shared" si="11"/>
        <v>140.3584570635264</v>
      </c>
    </row>
    <row r="171" spans="1:7" ht="15">
      <c r="A171" s="48">
        <v>3433</v>
      </c>
      <c r="B171" s="49" t="s">
        <v>1364</v>
      </c>
      <c r="C171" s="100">
        <v>82.56</v>
      </c>
      <c r="D171" s="100">
        <v>40</v>
      </c>
      <c r="E171" s="100">
        <v>240.39</v>
      </c>
      <c r="F171" s="58">
        <f t="shared" si="10"/>
        <v>600.9749999999999</v>
      </c>
      <c r="G171" s="58">
        <f t="shared" si="11"/>
        <v>291.17005813953483</v>
      </c>
    </row>
    <row r="172" spans="1:7" ht="15">
      <c r="A172" s="48">
        <v>3434</v>
      </c>
      <c r="B172" s="49" t="s">
        <v>1410</v>
      </c>
      <c r="C172" s="100">
        <v>0</v>
      </c>
      <c r="D172" s="100">
        <v>0</v>
      </c>
      <c r="E172" s="100">
        <v>0</v>
      </c>
      <c r="F172" s="58" t="e">
        <f t="shared" si="10"/>
        <v>#DIV/0!</v>
      </c>
      <c r="G172" s="58" t="e">
        <f t="shared" si="11"/>
        <v>#DIV/0!</v>
      </c>
    </row>
    <row r="173" spans="1:7" s="71" customFormat="1" ht="15">
      <c r="A173" s="44">
        <v>36</v>
      </c>
      <c r="B173" s="43" t="s">
        <v>1352</v>
      </c>
      <c r="C173" s="105">
        <f aca="true" t="shared" si="12" ref="C173:E174">C174</f>
        <v>74078.73</v>
      </c>
      <c r="D173" s="105">
        <f t="shared" si="12"/>
        <v>72190</v>
      </c>
      <c r="E173" s="105">
        <f t="shared" si="12"/>
        <v>77475.25</v>
      </c>
      <c r="F173" s="58">
        <f t="shared" si="10"/>
        <v>107.32130488987394</v>
      </c>
      <c r="G173" s="58">
        <f t="shared" si="11"/>
        <v>104.58501380895704</v>
      </c>
    </row>
    <row r="174" spans="1:7" s="71" customFormat="1" ht="15">
      <c r="A174" s="44">
        <v>369</v>
      </c>
      <c r="B174" s="43" t="s">
        <v>1291</v>
      </c>
      <c r="C174" s="105">
        <f t="shared" si="12"/>
        <v>74078.73</v>
      </c>
      <c r="D174" s="105">
        <f t="shared" si="12"/>
        <v>72190</v>
      </c>
      <c r="E174" s="105">
        <f t="shared" si="12"/>
        <v>77475.25</v>
      </c>
      <c r="F174" s="58">
        <f t="shared" si="10"/>
        <v>107.32130488987394</v>
      </c>
      <c r="G174" s="58">
        <f t="shared" si="11"/>
        <v>104.58501380895704</v>
      </c>
    </row>
    <row r="175" spans="1:7" ht="15">
      <c r="A175" s="48">
        <v>3691</v>
      </c>
      <c r="B175" s="49" t="s">
        <v>1291</v>
      </c>
      <c r="C175" s="100">
        <v>74078.73</v>
      </c>
      <c r="D175" s="103">
        <v>72190</v>
      </c>
      <c r="E175" s="103">
        <v>77475.25</v>
      </c>
      <c r="F175" s="58">
        <f t="shared" si="10"/>
        <v>107.32130488987394</v>
      </c>
      <c r="G175" s="58">
        <f t="shared" si="11"/>
        <v>104.58501380895704</v>
      </c>
    </row>
    <row r="176" spans="1:7" s="117" customFormat="1" ht="15">
      <c r="A176" s="44">
        <v>37</v>
      </c>
      <c r="B176" s="43" t="s">
        <v>1396</v>
      </c>
      <c r="C176" s="105">
        <f aca="true" t="shared" si="13" ref="C176:E177">C177</f>
        <v>15000</v>
      </c>
      <c r="D176" s="105">
        <f t="shared" si="13"/>
        <v>40000</v>
      </c>
      <c r="E176" s="105">
        <f t="shared" si="13"/>
        <v>40000</v>
      </c>
      <c r="F176" s="58">
        <f t="shared" si="10"/>
        <v>100</v>
      </c>
      <c r="G176" s="58">
        <f t="shared" si="11"/>
        <v>266.66666666666663</v>
      </c>
    </row>
    <row r="177" spans="1:7" s="117" customFormat="1" ht="15">
      <c r="A177" s="44">
        <v>372</v>
      </c>
      <c r="B177" s="43" t="s">
        <v>1397</v>
      </c>
      <c r="C177" s="105">
        <f t="shared" si="13"/>
        <v>15000</v>
      </c>
      <c r="D177" s="105">
        <f t="shared" si="13"/>
        <v>40000</v>
      </c>
      <c r="E177" s="105">
        <f t="shared" si="13"/>
        <v>40000</v>
      </c>
      <c r="F177" s="58">
        <f t="shared" si="10"/>
        <v>100</v>
      </c>
      <c r="G177" s="58">
        <f t="shared" si="11"/>
        <v>266.66666666666663</v>
      </c>
    </row>
    <row r="178" spans="1:7" s="117" customFormat="1" ht="15">
      <c r="A178" s="48">
        <v>3721</v>
      </c>
      <c r="B178" s="49" t="s">
        <v>1396</v>
      </c>
      <c r="C178" s="100">
        <v>15000</v>
      </c>
      <c r="D178" s="87">
        <v>40000</v>
      </c>
      <c r="E178" s="87">
        <v>40000</v>
      </c>
      <c r="F178" s="58">
        <f t="shared" si="10"/>
        <v>100</v>
      </c>
      <c r="G178" s="58">
        <f t="shared" si="11"/>
        <v>266.66666666666663</v>
      </c>
    </row>
    <row r="179" spans="1:7" ht="15">
      <c r="A179" s="44">
        <v>38</v>
      </c>
      <c r="B179" s="43" t="s">
        <v>1322</v>
      </c>
      <c r="C179" s="105">
        <f aca="true" t="shared" si="14" ref="C179:E180">C180</f>
        <v>14870</v>
      </c>
      <c r="D179" s="105">
        <f t="shared" si="14"/>
        <v>9500</v>
      </c>
      <c r="E179" s="105">
        <f t="shared" si="14"/>
        <v>9500</v>
      </c>
      <c r="F179" s="58">
        <f t="shared" si="10"/>
        <v>100</v>
      </c>
      <c r="G179" s="58">
        <f t="shared" si="11"/>
        <v>63.88702084734364</v>
      </c>
    </row>
    <row r="180" spans="1:7" ht="15">
      <c r="A180" s="44">
        <v>381</v>
      </c>
      <c r="B180" s="43" t="s">
        <v>1312</v>
      </c>
      <c r="C180" s="105">
        <f>C181+C182</f>
        <v>14870</v>
      </c>
      <c r="D180" s="105">
        <f t="shared" si="14"/>
        <v>9500</v>
      </c>
      <c r="E180" s="105">
        <f t="shared" si="14"/>
        <v>9500</v>
      </c>
      <c r="F180" s="58">
        <f t="shared" si="10"/>
        <v>100</v>
      </c>
      <c r="G180" s="58">
        <f t="shared" si="11"/>
        <v>63.88702084734364</v>
      </c>
    </row>
    <row r="181" spans="1:7" s="70" customFormat="1" ht="15">
      <c r="A181" s="72">
        <v>3811</v>
      </c>
      <c r="B181" s="73" t="s">
        <v>1293</v>
      </c>
      <c r="C181" s="104">
        <v>7500</v>
      </c>
      <c r="D181" s="104">
        <v>9500</v>
      </c>
      <c r="E181" s="104">
        <v>9500</v>
      </c>
      <c r="F181" s="58">
        <f t="shared" si="10"/>
        <v>100</v>
      </c>
      <c r="G181" s="58">
        <f t="shared" si="11"/>
        <v>126.66666666666666</v>
      </c>
    </row>
    <row r="182" spans="1:7" s="70" customFormat="1" ht="15">
      <c r="A182" s="72">
        <v>3812</v>
      </c>
      <c r="B182" s="73" t="s">
        <v>1457</v>
      </c>
      <c r="C182" s="104">
        <v>7370</v>
      </c>
      <c r="D182" s="104"/>
      <c r="E182" s="104"/>
      <c r="F182" s="58"/>
      <c r="G182" s="58"/>
    </row>
    <row r="183" spans="1:7" ht="15">
      <c r="A183" s="44">
        <v>4</v>
      </c>
      <c r="B183" s="43" t="s">
        <v>1318</v>
      </c>
      <c r="C183" s="105">
        <f>C184+C187</f>
        <v>608436.24</v>
      </c>
      <c r="D183" s="105">
        <f>D187</f>
        <v>195000</v>
      </c>
      <c r="E183" s="105">
        <f>E187</f>
        <v>199355.54</v>
      </c>
      <c r="F183" s="58">
        <f t="shared" si="10"/>
        <v>102.23361025641027</v>
      </c>
      <c r="G183" s="58">
        <f t="shared" si="11"/>
        <v>32.76523107828028</v>
      </c>
    </row>
    <row r="184" spans="1:7" s="117" customFormat="1" ht="15">
      <c r="A184" s="44">
        <v>41</v>
      </c>
      <c r="B184" s="43" t="s">
        <v>1442</v>
      </c>
      <c r="C184" s="105">
        <f>C185</f>
        <v>146623.39</v>
      </c>
      <c r="D184" s="105"/>
      <c r="E184" s="105"/>
      <c r="F184" s="58"/>
      <c r="G184" s="58"/>
    </row>
    <row r="185" spans="1:7" s="117" customFormat="1" ht="15">
      <c r="A185" s="44">
        <v>411</v>
      </c>
      <c r="B185" s="43" t="s">
        <v>1443</v>
      </c>
      <c r="C185" s="105">
        <f>C186</f>
        <v>146623.39</v>
      </c>
      <c r="D185" s="105"/>
      <c r="E185" s="105"/>
      <c r="F185" s="58"/>
      <c r="G185" s="58"/>
    </row>
    <row r="186" spans="1:7" s="117" customFormat="1" ht="15">
      <c r="A186" s="72">
        <v>4123</v>
      </c>
      <c r="B186" s="73" t="s">
        <v>1434</v>
      </c>
      <c r="C186" s="104">
        <v>146623.39</v>
      </c>
      <c r="D186" s="105"/>
      <c r="E186" s="105"/>
      <c r="F186" s="58"/>
      <c r="G186" s="58"/>
    </row>
    <row r="187" spans="1:7" ht="15">
      <c r="A187" s="44">
        <v>42</v>
      </c>
      <c r="B187" s="43" t="s">
        <v>1319</v>
      </c>
      <c r="C187" s="105">
        <f>C188+C192</f>
        <v>461812.85000000003</v>
      </c>
      <c r="D187" s="105">
        <f>D188+D192</f>
        <v>195000</v>
      </c>
      <c r="E187" s="105">
        <f>E188+E192</f>
        <v>199355.54</v>
      </c>
      <c r="F187" s="58">
        <f t="shared" si="10"/>
        <v>102.23361025641027</v>
      </c>
      <c r="G187" s="58">
        <f t="shared" si="11"/>
        <v>43.168036575855346</v>
      </c>
    </row>
    <row r="188" spans="1:7" ht="15">
      <c r="A188" s="44">
        <v>422</v>
      </c>
      <c r="B188" s="43" t="s">
        <v>1320</v>
      </c>
      <c r="C188" s="105">
        <f>C189+C190+C191</f>
        <v>426793.84</v>
      </c>
      <c r="D188" s="105">
        <f>D189</f>
        <v>175000</v>
      </c>
      <c r="E188" s="105">
        <f>E189</f>
        <v>173042.48</v>
      </c>
      <c r="F188" s="58">
        <f t="shared" si="10"/>
        <v>98.88141714285716</v>
      </c>
      <c r="G188" s="58">
        <f t="shared" si="11"/>
        <v>40.54474638153165</v>
      </c>
    </row>
    <row r="189" spans="1:7" ht="15">
      <c r="A189" s="48">
        <v>4221</v>
      </c>
      <c r="B189" s="49" t="s">
        <v>1285</v>
      </c>
      <c r="C189" s="100">
        <v>134620.09</v>
      </c>
      <c r="D189" s="103">
        <v>175000</v>
      </c>
      <c r="E189" s="103">
        <v>173042.48</v>
      </c>
      <c r="F189" s="58">
        <f t="shared" si="10"/>
        <v>98.88141714285716</v>
      </c>
      <c r="G189" s="58">
        <f t="shared" si="11"/>
        <v>128.54134921466775</v>
      </c>
    </row>
    <row r="190" spans="1:7" s="117" customFormat="1" ht="15">
      <c r="A190" s="48">
        <v>4224</v>
      </c>
      <c r="B190" s="49" t="s">
        <v>1440</v>
      </c>
      <c r="C190" s="100">
        <v>70608.86</v>
      </c>
      <c r="D190" s="103"/>
      <c r="E190" s="103"/>
      <c r="F190" s="58"/>
      <c r="G190" s="58"/>
    </row>
    <row r="191" spans="1:7" s="117" customFormat="1" ht="15">
      <c r="A191" s="48">
        <v>4225</v>
      </c>
      <c r="B191" s="49" t="s">
        <v>1294</v>
      </c>
      <c r="C191" s="100">
        <v>221564.89</v>
      </c>
      <c r="D191" s="103"/>
      <c r="E191" s="103"/>
      <c r="F191" s="58"/>
      <c r="G191" s="58"/>
    </row>
    <row r="192" spans="1:7" s="117" customFormat="1" ht="15">
      <c r="A192" s="44">
        <v>424</v>
      </c>
      <c r="B192" s="43" t="s">
        <v>1455</v>
      </c>
      <c r="C192" s="105">
        <f>C193</f>
        <v>35019.01</v>
      </c>
      <c r="D192" s="105">
        <f>D193</f>
        <v>20000</v>
      </c>
      <c r="E192" s="105">
        <f>E193</f>
        <v>26313.06</v>
      </c>
      <c r="F192" s="58">
        <f t="shared" si="10"/>
        <v>131.5653</v>
      </c>
      <c r="G192" s="58">
        <f t="shared" si="11"/>
        <v>75.13936002188527</v>
      </c>
    </row>
    <row r="193" spans="1:7" ht="15">
      <c r="A193" s="48">
        <v>4241</v>
      </c>
      <c r="B193" s="49" t="s">
        <v>1435</v>
      </c>
      <c r="C193" s="100">
        <v>35019.01</v>
      </c>
      <c r="D193" s="103">
        <v>20000</v>
      </c>
      <c r="E193" s="103">
        <v>26313.06</v>
      </c>
      <c r="F193" s="58">
        <f t="shared" si="10"/>
        <v>131.5653</v>
      </c>
      <c r="G193" s="58">
        <f t="shared" si="11"/>
        <v>75.13936002188527</v>
      </c>
    </row>
    <row r="194" spans="1:7" ht="15">
      <c r="A194" s="51"/>
      <c r="B194" s="51" t="s">
        <v>18</v>
      </c>
      <c r="C194" s="102">
        <f>C195+C217</f>
        <v>439214.35000000003</v>
      </c>
      <c r="D194" s="102">
        <f>D195+D217</f>
        <v>393931</v>
      </c>
      <c r="E194" s="102">
        <f>E195+E217</f>
        <v>424341.43</v>
      </c>
      <c r="F194" s="63">
        <f>E194/D194*100</f>
        <v>107.71973518204965</v>
      </c>
      <c r="G194" s="63">
        <f>E194/C194*100</f>
        <v>96.61374451904861</v>
      </c>
    </row>
    <row r="195" spans="1:7" ht="15">
      <c r="A195" s="44">
        <v>3</v>
      </c>
      <c r="B195" s="43" t="s">
        <v>1325</v>
      </c>
      <c r="C195" s="105">
        <f>C196+C203+C214</f>
        <v>394304.35000000003</v>
      </c>
      <c r="D195" s="105">
        <f>D196+D203+D214</f>
        <v>380441</v>
      </c>
      <c r="E195" s="105">
        <f>E196+E203+E214</f>
        <v>410851.43</v>
      </c>
      <c r="F195" s="58">
        <f>E195/D195*100</f>
        <v>107.99346810674979</v>
      </c>
      <c r="G195" s="58">
        <f>E195/C195*100</f>
        <v>104.1965248417878</v>
      </c>
    </row>
    <row r="196" spans="1:7" ht="15">
      <c r="A196" s="44">
        <v>31</v>
      </c>
      <c r="B196" s="43" t="s">
        <v>1296</v>
      </c>
      <c r="C196" s="105">
        <f>C197+C199+C201</f>
        <v>326244.59</v>
      </c>
      <c r="D196" s="105">
        <f>D197+D199+D201</f>
        <v>331441</v>
      </c>
      <c r="E196" s="105">
        <f>E197+E199+E201</f>
        <v>331146.68</v>
      </c>
      <c r="F196" s="58">
        <f aca="true" t="shared" si="15" ref="F196:F221">E196/D196*100</f>
        <v>99.91119988172858</v>
      </c>
      <c r="G196" s="58">
        <f aca="true" t="shared" si="16" ref="G196:G220">E196/C196*100</f>
        <v>101.50258123820535</v>
      </c>
    </row>
    <row r="197" spans="1:7" ht="15">
      <c r="A197" s="44">
        <v>311</v>
      </c>
      <c r="B197" s="43" t="s">
        <v>1287</v>
      </c>
      <c r="C197" s="105">
        <f>C198</f>
        <v>274029.69</v>
      </c>
      <c r="D197" s="105">
        <f>D198</f>
        <v>275855</v>
      </c>
      <c r="E197" s="105">
        <f>E198</f>
        <v>275018.67</v>
      </c>
      <c r="F197" s="58">
        <f t="shared" si="15"/>
        <v>99.69682260607927</v>
      </c>
      <c r="G197" s="58">
        <f t="shared" si="16"/>
        <v>100.36090249928758</v>
      </c>
    </row>
    <row r="198" spans="1:8" ht="15">
      <c r="A198" s="48">
        <v>3111</v>
      </c>
      <c r="B198" s="49" t="s">
        <v>1287</v>
      </c>
      <c r="C198" s="100">
        <v>274029.69</v>
      </c>
      <c r="D198" s="103">
        <v>275855</v>
      </c>
      <c r="E198" s="103">
        <v>275018.67</v>
      </c>
      <c r="F198" s="58">
        <f t="shared" si="15"/>
        <v>99.69682260607927</v>
      </c>
      <c r="G198" s="58">
        <f t="shared" si="16"/>
        <v>100.36090249928758</v>
      </c>
      <c r="H198" s="11"/>
    </row>
    <row r="199" spans="1:8" s="71" customFormat="1" ht="15">
      <c r="A199" s="44">
        <v>312</v>
      </c>
      <c r="B199" s="43" t="s">
        <v>1288</v>
      </c>
      <c r="C199" s="105">
        <f>C200</f>
        <v>7000</v>
      </c>
      <c r="D199" s="105">
        <f>D200</f>
        <v>8250</v>
      </c>
      <c r="E199" s="105">
        <f>E200</f>
        <v>10750</v>
      </c>
      <c r="F199" s="58">
        <f t="shared" si="15"/>
        <v>130.3030303030303</v>
      </c>
      <c r="G199" s="58">
        <f t="shared" si="16"/>
        <v>153.57142857142858</v>
      </c>
      <c r="H199" s="11"/>
    </row>
    <row r="200" spans="1:8" ht="15">
      <c r="A200" s="48">
        <v>3121</v>
      </c>
      <c r="B200" s="49" t="s">
        <v>1288</v>
      </c>
      <c r="C200" s="100">
        <v>7000</v>
      </c>
      <c r="D200" s="103">
        <v>8250</v>
      </c>
      <c r="E200" s="103">
        <v>10750</v>
      </c>
      <c r="F200" s="58">
        <f t="shared" si="15"/>
        <v>130.3030303030303</v>
      </c>
      <c r="G200" s="58">
        <f t="shared" si="16"/>
        <v>153.57142857142858</v>
      </c>
      <c r="H200" s="11"/>
    </row>
    <row r="201" spans="1:8" ht="15">
      <c r="A201" s="44">
        <v>313</v>
      </c>
      <c r="B201" s="43" t="s">
        <v>1298</v>
      </c>
      <c r="C201" s="105">
        <f>C202</f>
        <v>45214.9</v>
      </c>
      <c r="D201" s="105">
        <f>D202</f>
        <v>47336</v>
      </c>
      <c r="E201" s="105">
        <f>E202</f>
        <v>45378.01</v>
      </c>
      <c r="F201" s="58">
        <f t="shared" si="15"/>
        <v>95.86363444312997</v>
      </c>
      <c r="G201" s="58">
        <f t="shared" si="16"/>
        <v>100.36074391406373</v>
      </c>
      <c r="H201" s="11"/>
    </row>
    <row r="202" spans="1:8" ht="15">
      <c r="A202" s="48">
        <v>3132</v>
      </c>
      <c r="B202" s="49" t="s">
        <v>1324</v>
      </c>
      <c r="C202" s="100">
        <v>45214.9</v>
      </c>
      <c r="D202" s="103">
        <v>47336</v>
      </c>
      <c r="E202" s="103">
        <v>45378.01</v>
      </c>
      <c r="F202" s="58">
        <f t="shared" si="15"/>
        <v>95.86363444312997</v>
      </c>
      <c r="G202" s="58">
        <f t="shared" si="16"/>
        <v>100.36074391406373</v>
      </c>
      <c r="H202" s="11"/>
    </row>
    <row r="203" spans="1:9" ht="15">
      <c r="A203" s="44">
        <v>32</v>
      </c>
      <c r="B203" s="43" t="s">
        <v>1299</v>
      </c>
      <c r="C203" s="105">
        <f>C204+C207+C209</f>
        <v>53059.76</v>
      </c>
      <c r="D203" s="105">
        <f>D204+D207+D209</f>
        <v>33700</v>
      </c>
      <c r="E203" s="105">
        <f>E204+E207+E209</f>
        <v>64404.75</v>
      </c>
      <c r="F203" s="58">
        <f t="shared" si="15"/>
        <v>191.1120178041543</v>
      </c>
      <c r="G203" s="58">
        <f t="shared" si="16"/>
        <v>121.3815328226136</v>
      </c>
      <c r="H203" s="11"/>
      <c r="I203" s="116"/>
    </row>
    <row r="204" spans="1:8" ht="15">
      <c r="A204" s="44">
        <v>321</v>
      </c>
      <c r="B204" s="43" t="s">
        <v>1300</v>
      </c>
      <c r="C204" s="105">
        <f>C205+C206</f>
        <v>31555.120000000003</v>
      </c>
      <c r="D204" s="105">
        <f>D205</f>
        <v>33700</v>
      </c>
      <c r="E204" s="105">
        <f>E205</f>
        <v>36857.4</v>
      </c>
      <c r="F204" s="105">
        <f>F205</f>
        <v>109.36913946587536</v>
      </c>
      <c r="G204" s="58">
        <f t="shared" si="16"/>
        <v>116.8032319319337</v>
      </c>
      <c r="H204" s="11"/>
    </row>
    <row r="205" spans="1:8" ht="15">
      <c r="A205" s="48">
        <v>3211</v>
      </c>
      <c r="B205" s="49" t="s">
        <v>1264</v>
      </c>
      <c r="C205" s="100">
        <v>30126.58</v>
      </c>
      <c r="D205" s="103">
        <v>33700</v>
      </c>
      <c r="E205" s="103">
        <v>36857.4</v>
      </c>
      <c r="F205" s="58">
        <f t="shared" si="15"/>
        <v>109.36913946587536</v>
      </c>
      <c r="G205" s="58">
        <f t="shared" si="16"/>
        <v>122.34179916870748</v>
      </c>
      <c r="H205" s="11"/>
    </row>
    <row r="206" spans="1:8" s="117" customFormat="1" ht="15">
      <c r="A206" s="48">
        <v>3213</v>
      </c>
      <c r="B206" s="49" t="s">
        <v>1266</v>
      </c>
      <c r="C206" s="100">
        <v>1428.54</v>
      </c>
      <c r="D206" s="103"/>
      <c r="E206" s="103"/>
      <c r="F206" s="58"/>
      <c r="G206" s="58"/>
      <c r="H206" s="118"/>
    </row>
    <row r="207" spans="1:8" s="71" customFormat="1" ht="15">
      <c r="A207" s="44">
        <v>322</v>
      </c>
      <c r="B207" s="43" t="s">
        <v>1314</v>
      </c>
      <c r="C207" s="105">
        <f>C208</f>
        <v>0</v>
      </c>
      <c r="D207" s="105">
        <f>D208</f>
        <v>0</v>
      </c>
      <c r="E207" s="105">
        <f>E208</f>
        <v>365.5</v>
      </c>
      <c r="F207" s="58" t="e">
        <f t="shared" si="15"/>
        <v>#DIV/0!</v>
      </c>
      <c r="G207" s="58" t="e">
        <f t="shared" si="16"/>
        <v>#DIV/0!</v>
      </c>
      <c r="H207" s="11"/>
    </row>
    <row r="208" spans="1:8" ht="15">
      <c r="A208" s="48">
        <v>3221</v>
      </c>
      <c r="B208" s="49" t="s">
        <v>1267</v>
      </c>
      <c r="C208" s="100">
        <v>0</v>
      </c>
      <c r="D208" s="103">
        <v>0</v>
      </c>
      <c r="E208" s="103">
        <v>365.5</v>
      </c>
      <c r="F208" s="58" t="e">
        <f t="shared" si="15"/>
        <v>#DIV/0!</v>
      </c>
      <c r="G208" s="58" t="e">
        <f t="shared" si="16"/>
        <v>#DIV/0!</v>
      </c>
      <c r="H208" s="11"/>
    </row>
    <row r="209" spans="1:8" s="71" customFormat="1" ht="15">
      <c r="A209" s="44">
        <v>323</v>
      </c>
      <c r="B209" s="43" t="s">
        <v>1315</v>
      </c>
      <c r="C209" s="105">
        <f>SUM(C210:C213)</f>
        <v>21504.64</v>
      </c>
      <c r="D209" s="105">
        <f>SUM(D210:D212)</f>
        <v>0</v>
      </c>
      <c r="E209" s="105">
        <f>SUM(E210:E212)</f>
        <v>27181.85</v>
      </c>
      <c r="F209" s="58" t="e">
        <f t="shared" si="15"/>
        <v>#DIV/0!</v>
      </c>
      <c r="G209" s="58">
        <f t="shared" si="16"/>
        <v>126.39993043361804</v>
      </c>
      <c r="H209" s="11"/>
    </row>
    <row r="210" spans="1:8" ht="15">
      <c r="A210" s="48">
        <v>3233</v>
      </c>
      <c r="B210" s="49" t="s">
        <v>1273</v>
      </c>
      <c r="C210" s="100">
        <v>0</v>
      </c>
      <c r="D210" s="103">
        <v>0</v>
      </c>
      <c r="E210" s="103">
        <v>24356.85</v>
      </c>
      <c r="F210" s="58" t="e">
        <f t="shared" si="15"/>
        <v>#DIV/0!</v>
      </c>
      <c r="G210" s="58" t="e">
        <f t="shared" si="16"/>
        <v>#DIV/0!</v>
      </c>
      <c r="H210" s="11"/>
    </row>
    <row r="211" spans="1:8" ht="15">
      <c r="A211" s="48">
        <v>3239</v>
      </c>
      <c r="B211" s="49" t="s">
        <v>1279</v>
      </c>
      <c r="C211" s="100">
        <v>0</v>
      </c>
      <c r="D211" s="103">
        <v>0</v>
      </c>
      <c r="E211" s="103">
        <v>648</v>
      </c>
      <c r="F211" s="58" t="e">
        <f t="shared" si="15"/>
        <v>#DIV/0!</v>
      </c>
      <c r="G211" s="58" t="e">
        <f t="shared" si="16"/>
        <v>#DIV/0!</v>
      </c>
      <c r="H211" s="11"/>
    </row>
    <row r="212" spans="1:8" s="117" customFormat="1" ht="15">
      <c r="A212" s="48">
        <v>3293</v>
      </c>
      <c r="B212" s="49" t="s">
        <v>1289</v>
      </c>
      <c r="C212" s="100"/>
      <c r="D212" s="103">
        <v>0</v>
      </c>
      <c r="E212" s="103">
        <v>2177</v>
      </c>
      <c r="F212" s="58" t="e">
        <f t="shared" si="15"/>
        <v>#DIV/0!</v>
      </c>
      <c r="G212" s="58" t="e">
        <f t="shared" si="16"/>
        <v>#DIV/0!</v>
      </c>
      <c r="H212" s="118"/>
    </row>
    <row r="213" spans="1:8" s="117" customFormat="1" ht="15">
      <c r="A213" s="48">
        <v>3299</v>
      </c>
      <c r="B213" s="49" t="s">
        <v>1283</v>
      </c>
      <c r="C213" s="100">
        <v>21504.64</v>
      </c>
      <c r="D213" s="103"/>
      <c r="E213" s="103"/>
      <c r="F213" s="58"/>
      <c r="G213" s="58"/>
      <c r="H213" s="118"/>
    </row>
    <row r="214" spans="1:8" ht="15">
      <c r="A214" s="44">
        <v>37</v>
      </c>
      <c r="B214" s="43" t="s">
        <v>1396</v>
      </c>
      <c r="C214" s="105">
        <f aca="true" t="shared" si="17" ref="C214:E215">C215</f>
        <v>15000</v>
      </c>
      <c r="D214" s="105">
        <f t="shared" si="17"/>
        <v>15300</v>
      </c>
      <c r="E214" s="105">
        <f t="shared" si="17"/>
        <v>15300</v>
      </c>
      <c r="F214" s="58">
        <f t="shared" si="15"/>
        <v>100</v>
      </c>
      <c r="G214" s="58">
        <f t="shared" si="16"/>
        <v>102</v>
      </c>
      <c r="H214" s="11"/>
    </row>
    <row r="215" spans="1:8" s="117" customFormat="1" ht="15">
      <c r="A215" s="44">
        <v>372</v>
      </c>
      <c r="B215" s="43" t="s">
        <v>1397</v>
      </c>
      <c r="C215" s="105">
        <f t="shared" si="17"/>
        <v>15000</v>
      </c>
      <c r="D215" s="105">
        <f t="shared" si="17"/>
        <v>15300</v>
      </c>
      <c r="E215" s="105">
        <f t="shared" si="17"/>
        <v>15300</v>
      </c>
      <c r="F215" s="58">
        <f t="shared" si="15"/>
        <v>100</v>
      </c>
      <c r="G215" s="58">
        <f t="shared" si="16"/>
        <v>102</v>
      </c>
      <c r="H215" s="118"/>
    </row>
    <row r="216" spans="1:8" ht="15">
      <c r="A216" s="48">
        <v>3721</v>
      </c>
      <c r="B216" s="49" t="s">
        <v>1396</v>
      </c>
      <c r="C216" s="100">
        <v>15000</v>
      </c>
      <c r="D216" s="100">
        <v>15300</v>
      </c>
      <c r="E216" s="100">
        <v>15300</v>
      </c>
      <c r="F216" s="58">
        <f t="shared" si="15"/>
        <v>100</v>
      </c>
      <c r="G216" s="58">
        <f t="shared" si="16"/>
        <v>102</v>
      </c>
      <c r="H216" s="11"/>
    </row>
    <row r="217" spans="1:8" ht="15">
      <c r="A217" s="44">
        <v>4</v>
      </c>
      <c r="B217" s="43" t="s">
        <v>1318</v>
      </c>
      <c r="C217" s="105">
        <f aca="true" t="shared" si="18" ref="C217:E219">C218</f>
        <v>44910</v>
      </c>
      <c r="D217" s="105">
        <f t="shared" si="18"/>
        <v>13490</v>
      </c>
      <c r="E217" s="105">
        <f t="shared" si="18"/>
        <v>13490</v>
      </c>
      <c r="F217" s="58">
        <f t="shared" si="15"/>
        <v>100</v>
      </c>
      <c r="G217" s="58">
        <f t="shared" si="16"/>
        <v>30.037853484747274</v>
      </c>
      <c r="H217" s="11"/>
    </row>
    <row r="218" spans="1:8" ht="15">
      <c r="A218" s="44">
        <v>42</v>
      </c>
      <c r="B218" s="43" t="s">
        <v>1319</v>
      </c>
      <c r="C218" s="105">
        <f t="shared" si="18"/>
        <v>44910</v>
      </c>
      <c r="D218" s="105">
        <f t="shared" si="18"/>
        <v>13490</v>
      </c>
      <c r="E218" s="105">
        <f t="shared" si="18"/>
        <v>13490</v>
      </c>
      <c r="F218" s="58">
        <f t="shared" si="15"/>
        <v>100</v>
      </c>
      <c r="G218" s="58">
        <f t="shared" si="16"/>
        <v>30.037853484747274</v>
      </c>
      <c r="H218" s="11"/>
    </row>
    <row r="219" spans="1:8" ht="15">
      <c r="A219" s="44">
        <v>422</v>
      </c>
      <c r="B219" s="43" t="s">
        <v>1320</v>
      </c>
      <c r="C219" s="105">
        <f t="shared" si="18"/>
        <v>44910</v>
      </c>
      <c r="D219" s="105">
        <f t="shared" si="18"/>
        <v>13490</v>
      </c>
      <c r="E219" s="105">
        <f t="shared" si="18"/>
        <v>13490</v>
      </c>
      <c r="F219" s="58">
        <f t="shared" si="15"/>
        <v>100</v>
      </c>
      <c r="G219" s="58">
        <f t="shared" si="16"/>
        <v>30.037853484747274</v>
      </c>
      <c r="H219" s="11"/>
    </row>
    <row r="220" spans="1:8" ht="15">
      <c r="A220" s="48">
        <v>4221</v>
      </c>
      <c r="B220" s="49" t="s">
        <v>1285</v>
      </c>
      <c r="C220" s="100">
        <v>44910</v>
      </c>
      <c r="D220" s="103">
        <v>13490</v>
      </c>
      <c r="E220" s="103">
        <v>13490</v>
      </c>
      <c r="F220" s="58">
        <f t="shared" si="15"/>
        <v>100</v>
      </c>
      <c r="G220" s="58">
        <f t="shared" si="16"/>
        <v>30.037853484747274</v>
      </c>
      <c r="H220" s="11"/>
    </row>
    <row r="221" spans="1:7" ht="15">
      <c r="A221" s="51"/>
      <c r="B221" s="51" t="s">
        <v>174</v>
      </c>
      <c r="C221" s="102">
        <f>C222+C258</f>
        <v>351096.51</v>
      </c>
      <c r="D221" s="102">
        <f>D222+D258</f>
        <v>2492935</v>
      </c>
      <c r="E221" s="102">
        <f>E222+E258</f>
        <v>2539654.0999999996</v>
      </c>
      <c r="F221" s="63">
        <f t="shared" si="15"/>
        <v>101.87406009382514</v>
      </c>
      <c r="G221" s="63">
        <f>E221/C221*100</f>
        <v>723.3492864967526</v>
      </c>
    </row>
    <row r="222" spans="1:7" ht="15">
      <c r="A222" s="44">
        <v>3</v>
      </c>
      <c r="B222" s="43" t="s">
        <v>1325</v>
      </c>
      <c r="C222" s="105">
        <f>C223+C230+C255</f>
        <v>311619.16000000003</v>
      </c>
      <c r="D222" s="105">
        <f>D223+D230</f>
        <v>2319285</v>
      </c>
      <c r="E222" s="105">
        <f>E223+E230</f>
        <v>2367925.57</v>
      </c>
      <c r="F222" s="58">
        <f>E222/D222*100</f>
        <v>102.09722263542427</v>
      </c>
      <c r="G222" s="58">
        <f>E222/C222*100</f>
        <v>759.8780415170876</v>
      </c>
    </row>
    <row r="223" spans="1:7" ht="15">
      <c r="A223" s="44">
        <v>31</v>
      </c>
      <c r="B223" s="43" t="s">
        <v>1297</v>
      </c>
      <c r="C223" s="105">
        <f>C224+C228+C226</f>
        <v>206732.41999999998</v>
      </c>
      <c r="D223" s="105">
        <f>D224+D228+D226</f>
        <v>1497227</v>
      </c>
      <c r="E223" s="105">
        <f>E224+E228+E226</f>
        <v>1521550.17</v>
      </c>
      <c r="F223" s="58">
        <f aca="true" t="shared" si="19" ref="F223:F269">E223/D223*100</f>
        <v>101.62454791424413</v>
      </c>
      <c r="G223" s="58">
        <f aca="true" t="shared" si="20" ref="G223:G247">E223/C223*100</f>
        <v>735.9997865840297</v>
      </c>
    </row>
    <row r="224" spans="1:9" ht="15">
      <c r="A224" s="44">
        <v>311</v>
      </c>
      <c r="B224" s="43" t="s">
        <v>1287</v>
      </c>
      <c r="C224" s="105">
        <f>C225</f>
        <v>174877.62</v>
      </c>
      <c r="D224" s="105">
        <f>D225</f>
        <v>1256960</v>
      </c>
      <c r="E224" s="105">
        <f>E225</f>
        <v>1268835.08</v>
      </c>
      <c r="F224" s="58">
        <f t="shared" si="19"/>
        <v>100.9447460539715</v>
      </c>
      <c r="G224" s="58">
        <f t="shared" si="20"/>
        <v>725.5560088249143</v>
      </c>
      <c r="I224" s="116"/>
    </row>
    <row r="225" spans="1:7" ht="15">
      <c r="A225" s="48">
        <v>3111</v>
      </c>
      <c r="B225" s="49" t="s">
        <v>1287</v>
      </c>
      <c r="C225" s="100">
        <v>174877.62</v>
      </c>
      <c r="D225" s="103">
        <v>1256960</v>
      </c>
      <c r="E225" s="103">
        <v>1268835.08</v>
      </c>
      <c r="F225" s="58">
        <f t="shared" si="19"/>
        <v>100.9447460539715</v>
      </c>
      <c r="G225" s="58">
        <f t="shared" si="20"/>
        <v>725.5560088249143</v>
      </c>
    </row>
    <row r="226" spans="1:7" s="117" customFormat="1" ht="15">
      <c r="A226" s="44">
        <v>312</v>
      </c>
      <c r="B226" s="43" t="s">
        <v>1288</v>
      </c>
      <c r="C226" s="105">
        <f>C227</f>
        <v>3000</v>
      </c>
      <c r="D226" s="105">
        <f>D227</f>
        <v>35507</v>
      </c>
      <c r="E226" s="105">
        <f>E227</f>
        <v>47156.9</v>
      </c>
      <c r="F226" s="58">
        <f t="shared" si="19"/>
        <v>132.8101501112457</v>
      </c>
      <c r="G226" s="58">
        <f t="shared" si="20"/>
        <v>1571.8966666666668</v>
      </c>
    </row>
    <row r="227" spans="1:7" s="117" customFormat="1" ht="15">
      <c r="A227" s="48">
        <v>3121</v>
      </c>
      <c r="B227" s="49" t="s">
        <v>1288</v>
      </c>
      <c r="C227" s="100">
        <v>3000</v>
      </c>
      <c r="D227" s="103">
        <v>35507</v>
      </c>
      <c r="E227" s="103">
        <v>47156.9</v>
      </c>
      <c r="F227" s="58">
        <f t="shared" si="19"/>
        <v>132.8101501112457</v>
      </c>
      <c r="G227" s="58">
        <f t="shared" si="20"/>
        <v>1571.8966666666668</v>
      </c>
    </row>
    <row r="228" spans="1:7" ht="15">
      <c r="A228" s="44">
        <v>313</v>
      </c>
      <c r="B228" s="43" t="s">
        <v>1298</v>
      </c>
      <c r="C228" s="105">
        <f>C229</f>
        <v>28854.8</v>
      </c>
      <c r="D228" s="105">
        <f>D229</f>
        <v>204760</v>
      </c>
      <c r="E228" s="105">
        <f>E229</f>
        <v>205558.19</v>
      </c>
      <c r="F228" s="58">
        <f t="shared" si="19"/>
        <v>100.38981734713812</v>
      </c>
      <c r="G228" s="58">
        <f t="shared" si="20"/>
        <v>712.3881988438666</v>
      </c>
    </row>
    <row r="229" spans="1:7" ht="15">
      <c r="A229" s="48">
        <v>3132</v>
      </c>
      <c r="B229" s="49" t="s">
        <v>1324</v>
      </c>
      <c r="C229" s="100">
        <v>28854.8</v>
      </c>
      <c r="D229" s="103">
        <v>204760</v>
      </c>
      <c r="E229" s="103">
        <v>205558.19</v>
      </c>
      <c r="F229" s="58">
        <f t="shared" si="19"/>
        <v>100.38981734713812</v>
      </c>
      <c r="G229" s="58">
        <f t="shared" si="20"/>
        <v>712.3881988438666</v>
      </c>
    </row>
    <row r="230" spans="1:7" ht="15">
      <c r="A230" s="44">
        <v>32</v>
      </c>
      <c r="B230" s="43" t="s">
        <v>1299</v>
      </c>
      <c r="C230" s="105">
        <f>C231+C235+C241+C251+C249</f>
        <v>104803.96</v>
      </c>
      <c r="D230" s="105">
        <f>D231+D235+D241+D251+D249</f>
        <v>822058</v>
      </c>
      <c r="E230" s="105">
        <f>E231+E235+E241+E251+E249</f>
        <v>846375.3999999999</v>
      </c>
      <c r="F230" s="58">
        <f t="shared" si="19"/>
        <v>102.95811244462068</v>
      </c>
      <c r="G230" s="58">
        <f t="shared" si="20"/>
        <v>807.5795990914846</v>
      </c>
    </row>
    <row r="231" spans="1:7" ht="15">
      <c r="A231" s="44">
        <v>321</v>
      </c>
      <c r="B231" s="43" t="s">
        <v>1300</v>
      </c>
      <c r="C231" s="105">
        <f>C232+C234+C233</f>
        <v>54353.05</v>
      </c>
      <c r="D231" s="105">
        <f>D232+D234+D233</f>
        <v>397236</v>
      </c>
      <c r="E231" s="105">
        <f>E232+E234+E233</f>
        <v>414582.41</v>
      </c>
      <c r="F231" s="58">
        <f t="shared" si="19"/>
        <v>104.36677692857646</v>
      </c>
      <c r="G231" s="58">
        <f t="shared" si="20"/>
        <v>762.758318070467</v>
      </c>
    </row>
    <row r="232" spans="1:7" ht="15">
      <c r="A232" s="48">
        <v>3211</v>
      </c>
      <c r="B232" s="49" t="s">
        <v>1264</v>
      </c>
      <c r="C232" s="100">
        <v>38634</v>
      </c>
      <c r="D232" s="103">
        <v>291336</v>
      </c>
      <c r="E232" s="103">
        <v>319385.6</v>
      </c>
      <c r="F232" s="58">
        <f t="shared" si="19"/>
        <v>109.6279210258945</v>
      </c>
      <c r="G232" s="58">
        <f t="shared" si="20"/>
        <v>826.6956566754673</v>
      </c>
    </row>
    <row r="233" spans="1:7" s="117" customFormat="1" ht="15">
      <c r="A233" s="57">
        <v>3212</v>
      </c>
      <c r="B233" s="56" t="s">
        <v>1265</v>
      </c>
      <c r="C233" s="100">
        <v>1112.79</v>
      </c>
      <c r="D233" s="103">
        <v>21745</v>
      </c>
      <c r="E233" s="103">
        <v>21794.29</v>
      </c>
      <c r="F233" s="58"/>
      <c r="G233" s="58"/>
    </row>
    <row r="234" spans="1:7" ht="15">
      <c r="A234" s="48">
        <v>3213</v>
      </c>
      <c r="B234" s="49" t="s">
        <v>1266</v>
      </c>
      <c r="C234" s="100">
        <v>14606.26</v>
      </c>
      <c r="D234" s="103">
        <v>84155</v>
      </c>
      <c r="E234" s="103">
        <f>78000.32-4597.8</f>
        <v>73402.52</v>
      </c>
      <c r="F234" s="58">
        <f t="shared" si="19"/>
        <v>87.22300516903334</v>
      </c>
      <c r="G234" s="58">
        <f t="shared" si="20"/>
        <v>502.54151302249863</v>
      </c>
    </row>
    <row r="235" spans="1:7" ht="15">
      <c r="A235" s="44">
        <v>322</v>
      </c>
      <c r="B235" s="43" t="s">
        <v>1314</v>
      </c>
      <c r="C235" s="105">
        <f>C236+C238+C237+C239+C240</f>
        <v>16395.26</v>
      </c>
      <c r="D235" s="105">
        <f>D236+D238+D237+D239+D240</f>
        <v>59660</v>
      </c>
      <c r="E235" s="105">
        <f>E236+E238+E237+E239+E240</f>
        <v>58220.96</v>
      </c>
      <c r="F235" s="58">
        <f t="shared" si="19"/>
        <v>97.58793161247067</v>
      </c>
      <c r="G235" s="58">
        <f t="shared" si="20"/>
        <v>355.1084886729457</v>
      </c>
    </row>
    <row r="236" spans="1:7" ht="15">
      <c r="A236" s="48">
        <v>3221</v>
      </c>
      <c r="B236" s="49" t="s">
        <v>1267</v>
      </c>
      <c r="C236" s="100">
        <v>203.82</v>
      </c>
      <c r="D236" s="100">
        <v>3000</v>
      </c>
      <c r="E236" s="100">
        <v>2561.35</v>
      </c>
      <c r="F236" s="58">
        <f t="shared" si="19"/>
        <v>85.37833333333333</v>
      </c>
      <c r="G236" s="58">
        <f t="shared" si="20"/>
        <v>1256.672554214503</v>
      </c>
    </row>
    <row r="237" spans="1:7" ht="15">
      <c r="A237" s="48">
        <v>3222</v>
      </c>
      <c r="B237" s="49" t="s">
        <v>1268</v>
      </c>
      <c r="C237" s="100">
        <v>3232.09</v>
      </c>
      <c r="D237" s="100">
        <v>39960</v>
      </c>
      <c r="E237" s="100">
        <v>38546.36</v>
      </c>
      <c r="F237" s="58">
        <f t="shared" si="19"/>
        <v>96.46236236236237</v>
      </c>
      <c r="G237" s="58">
        <f t="shared" si="20"/>
        <v>1192.614067058776</v>
      </c>
    </row>
    <row r="238" spans="1:7" ht="15">
      <c r="A238" s="48">
        <v>3224</v>
      </c>
      <c r="B238" s="49" t="s">
        <v>1365</v>
      </c>
      <c r="C238" s="100">
        <v>238.8</v>
      </c>
      <c r="D238" s="103">
        <v>3000</v>
      </c>
      <c r="E238" s="100">
        <v>4902.6</v>
      </c>
      <c r="F238" s="58">
        <f t="shared" si="19"/>
        <v>163.42000000000002</v>
      </c>
      <c r="G238" s="58">
        <f t="shared" si="20"/>
        <v>2053.0150753768844</v>
      </c>
    </row>
    <row r="239" spans="1:7" s="117" customFormat="1" ht="15">
      <c r="A239" s="48">
        <v>3225</v>
      </c>
      <c r="B239" s="49" t="s">
        <v>1411</v>
      </c>
      <c r="C239" s="100">
        <v>12720.55</v>
      </c>
      <c r="D239" s="103">
        <v>13000</v>
      </c>
      <c r="E239" s="100">
        <v>11518.04</v>
      </c>
      <c r="F239" s="58">
        <f t="shared" si="19"/>
        <v>88.6003076923077</v>
      </c>
      <c r="G239" s="58">
        <f t="shared" si="20"/>
        <v>90.54671378202987</v>
      </c>
    </row>
    <row r="240" spans="1:7" s="117" customFormat="1" ht="15">
      <c r="A240" s="48">
        <v>3227</v>
      </c>
      <c r="B240" s="56" t="s">
        <v>1437</v>
      </c>
      <c r="C240" s="100"/>
      <c r="D240" s="103">
        <v>700</v>
      </c>
      <c r="E240" s="100">
        <v>692.61</v>
      </c>
      <c r="F240" s="58">
        <f t="shared" si="19"/>
        <v>98.94428571428571</v>
      </c>
      <c r="G240" s="58"/>
    </row>
    <row r="241" spans="1:7" ht="15">
      <c r="A241" s="44">
        <v>323</v>
      </c>
      <c r="B241" s="43" t="s">
        <v>1315</v>
      </c>
      <c r="C241" s="105">
        <f>SUM(C242:C248)</f>
        <v>20351.010000000002</v>
      </c>
      <c r="D241" s="105">
        <f>SUM(D242:D248)</f>
        <v>287592</v>
      </c>
      <c r="E241" s="105">
        <f>SUM(E242:E248)</f>
        <v>300745.88</v>
      </c>
      <c r="F241" s="58">
        <f t="shared" si="19"/>
        <v>104.57379899301789</v>
      </c>
      <c r="G241" s="58">
        <f t="shared" si="20"/>
        <v>1477.7933871586717</v>
      </c>
    </row>
    <row r="242" spans="1:7" s="117" customFormat="1" ht="15">
      <c r="A242" s="72">
        <v>3231</v>
      </c>
      <c r="B242" s="49" t="s">
        <v>1271</v>
      </c>
      <c r="C242" s="104"/>
      <c r="D242" s="104">
        <v>3100</v>
      </c>
      <c r="E242" s="104">
        <v>3166.67</v>
      </c>
      <c r="F242" s="115"/>
      <c r="G242" s="115"/>
    </row>
    <row r="243" spans="1:7" ht="15">
      <c r="A243" s="48">
        <v>3232</v>
      </c>
      <c r="B243" s="49" t="s">
        <v>1272</v>
      </c>
      <c r="C243" s="100">
        <v>4373.64</v>
      </c>
      <c r="D243" s="100">
        <v>12000</v>
      </c>
      <c r="E243" s="100">
        <v>11711.26</v>
      </c>
      <c r="F243" s="58">
        <f t="shared" si="19"/>
        <v>97.59383333333334</v>
      </c>
      <c r="G243" s="58">
        <f t="shared" si="20"/>
        <v>267.76918081963765</v>
      </c>
    </row>
    <row r="244" spans="1:7" ht="15">
      <c r="A244" s="48">
        <v>3233</v>
      </c>
      <c r="B244" s="49" t="s">
        <v>1273</v>
      </c>
      <c r="C244" s="100">
        <v>1627.96</v>
      </c>
      <c r="D244" s="100">
        <v>72000</v>
      </c>
      <c r="E244" s="100">
        <v>86744.4</v>
      </c>
      <c r="F244" s="58">
        <f t="shared" si="19"/>
        <v>120.47833333333332</v>
      </c>
      <c r="G244" s="58">
        <f t="shared" si="20"/>
        <v>5328.411017469716</v>
      </c>
    </row>
    <row r="245" spans="1:7" ht="15">
      <c r="A245" s="48">
        <v>3235</v>
      </c>
      <c r="B245" s="49" t="s">
        <v>1275</v>
      </c>
      <c r="C245" s="100">
        <v>4757.81</v>
      </c>
      <c r="D245" s="100">
        <v>19250</v>
      </c>
      <c r="E245" s="100">
        <v>20208.51</v>
      </c>
      <c r="F245" s="58">
        <f t="shared" si="19"/>
        <v>104.97927272727271</v>
      </c>
      <c r="G245" s="58">
        <f t="shared" si="20"/>
        <v>424.74394732030066</v>
      </c>
    </row>
    <row r="246" spans="1:7" ht="15">
      <c r="A246" s="48">
        <v>3237</v>
      </c>
      <c r="B246" s="49" t="s">
        <v>1277</v>
      </c>
      <c r="C246" s="103">
        <v>6041.6</v>
      </c>
      <c r="D246" s="103">
        <v>168792</v>
      </c>
      <c r="E246" s="103">
        <v>166504.79</v>
      </c>
      <c r="F246" s="58">
        <f>E246/D246*100</f>
        <v>98.64495355230106</v>
      </c>
      <c r="G246" s="58">
        <f t="shared" si="20"/>
        <v>2755.9717624470336</v>
      </c>
    </row>
    <row r="247" spans="1:7" s="117" customFormat="1" ht="15">
      <c r="A247" s="48">
        <v>3238</v>
      </c>
      <c r="B247" s="49" t="s">
        <v>1278</v>
      </c>
      <c r="C247" s="103"/>
      <c r="D247" s="103">
        <v>4850</v>
      </c>
      <c r="E247" s="103">
        <v>4811.25</v>
      </c>
      <c r="F247" s="58">
        <f>E247/D247*100</f>
        <v>99.20103092783505</v>
      </c>
      <c r="G247" s="58" t="e">
        <f t="shared" si="20"/>
        <v>#DIV/0!</v>
      </c>
    </row>
    <row r="248" spans="1:7" ht="15">
      <c r="A248" s="48">
        <v>3239</v>
      </c>
      <c r="B248" s="49" t="s">
        <v>1279</v>
      </c>
      <c r="C248" s="100">
        <v>3550</v>
      </c>
      <c r="D248" s="100">
        <v>7600</v>
      </c>
      <c r="E248" s="100">
        <v>7599</v>
      </c>
      <c r="F248" s="58">
        <f t="shared" si="19"/>
        <v>99.98684210526316</v>
      </c>
      <c r="G248" s="58">
        <f aca="true" t="shared" si="21" ref="G248:G269">E248/C248*100</f>
        <v>214.05633802816902</v>
      </c>
    </row>
    <row r="249" spans="1:7" ht="15">
      <c r="A249" s="44">
        <v>324</v>
      </c>
      <c r="B249" s="43" t="s">
        <v>1321</v>
      </c>
      <c r="C249" s="105">
        <f>C250</f>
        <v>2373.7</v>
      </c>
      <c r="D249" s="105">
        <f>D250</f>
        <v>40000</v>
      </c>
      <c r="E249" s="105">
        <f>E250</f>
        <v>34617.7</v>
      </c>
      <c r="F249" s="58">
        <f t="shared" si="19"/>
        <v>86.54424999999999</v>
      </c>
      <c r="G249" s="58">
        <f t="shared" si="21"/>
        <v>1458.3856426675654</v>
      </c>
    </row>
    <row r="250" spans="1:7" ht="15">
      <c r="A250" s="48">
        <v>3241</v>
      </c>
      <c r="B250" s="49" t="s">
        <v>1321</v>
      </c>
      <c r="C250" s="100">
        <v>2373.7</v>
      </c>
      <c r="D250" s="100">
        <v>40000</v>
      </c>
      <c r="E250" s="100">
        <v>34617.7</v>
      </c>
      <c r="F250" s="58">
        <f t="shared" si="19"/>
        <v>86.54424999999999</v>
      </c>
      <c r="G250" s="58">
        <f t="shared" si="21"/>
        <v>1458.3856426675654</v>
      </c>
    </row>
    <row r="251" spans="1:7" ht="15">
      <c r="A251" s="44">
        <v>329</v>
      </c>
      <c r="B251" s="43" t="s">
        <v>1283</v>
      </c>
      <c r="C251" s="105">
        <f>C252+C253+C254</f>
        <v>11330.939999999999</v>
      </c>
      <c r="D251" s="105">
        <f>D252+D253+D254</f>
        <v>37570</v>
      </c>
      <c r="E251" s="105">
        <f>E252+E253+E254</f>
        <v>38208.45</v>
      </c>
      <c r="F251" s="58">
        <f t="shared" si="19"/>
        <v>101.69936119244076</v>
      </c>
      <c r="G251" s="58">
        <f t="shared" si="21"/>
        <v>337.20459202855193</v>
      </c>
    </row>
    <row r="252" spans="1:7" ht="15">
      <c r="A252" s="48">
        <v>3293</v>
      </c>
      <c r="B252" s="49" t="s">
        <v>1289</v>
      </c>
      <c r="C252" s="100">
        <v>6019</v>
      </c>
      <c r="D252" s="103">
        <v>7320</v>
      </c>
      <c r="E252" s="103">
        <v>7982</v>
      </c>
      <c r="F252" s="58">
        <f t="shared" si="19"/>
        <v>109.04371584699453</v>
      </c>
      <c r="G252" s="58">
        <f t="shared" si="21"/>
        <v>132.6133909287257</v>
      </c>
    </row>
    <row r="253" spans="1:7" ht="15">
      <c r="A253" s="48">
        <v>3294</v>
      </c>
      <c r="B253" s="49" t="s">
        <v>1281</v>
      </c>
      <c r="C253" s="100">
        <v>5311.94</v>
      </c>
      <c r="D253" s="100">
        <v>4220</v>
      </c>
      <c r="E253" s="100">
        <v>4219.49</v>
      </c>
      <c r="F253" s="58">
        <f t="shared" si="19"/>
        <v>99.98791469194313</v>
      </c>
      <c r="G253" s="58">
        <f t="shared" si="21"/>
        <v>79.43406740286977</v>
      </c>
    </row>
    <row r="254" spans="1:7" s="117" customFormat="1" ht="15">
      <c r="A254" s="48">
        <v>3299</v>
      </c>
      <c r="B254" s="49" t="s">
        <v>1283</v>
      </c>
      <c r="C254" s="100">
        <v>0</v>
      </c>
      <c r="D254" s="100">
        <v>26030</v>
      </c>
      <c r="E254" s="100">
        <v>26006.96</v>
      </c>
      <c r="F254" s="58">
        <f t="shared" si="19"/>
        <v>99.91148674606222</v>
      </c>
      <c r="G254" s="58" t="e">
        <f t="shared" si="21"/>
        <v>#DIV/0!</v>
      </c>
    </row>
    <row r="255" spans="1:7" s="117" customFormat="1" ht="15">
      <c r="A255" s="44">
        <v>34</v>
      </c>
      <c r="B255" s="43" t="s">
        <v>1316</v>
      </c>
      <c r="C255" s="105">
        <f>C256</f>
        <v>82.78</v>
      </c>
      <c r="D255" s="100"/>
      <c r="E255" s="100"/>
      <c r="F255" s="58"/>
      <c r="G255" s="58"/>
    </row>
    <row r="256" spans="1:7" s="117" customFormat="1" ht="15">
      <c r="A256" s="44">
        <v>343</v>
      </c>
      <c r="B256" s="43" t="s">
        <v>1317</v>
      </c>
      <c r="C256" s="105">
        <f>C257</f>
        <v>82.78</v>
      </c>
      <c r="D256" s="100"/>
      <c r="E256" s="100"/>
      <c r="F256" s="58"/>
      <c r="G256" s="58"/>
    </row>
    <row r="257" spans="1:7" s="117" customFormat="1" ht="15">
      <c r="A257" s="48">
        <v>3432</v>
      </c>
      <c r="B257" s="49" t="s">
        <v>1290</v>
      </c>
      <c r="C257" s="100">
        <v>82.78</v>
      </c>
      <c r="D257" s="100"/>
      <c r="E257" s="100"/>
      <c r="F257" s="58"/>
      <c r="G257" s="58"/>
    </row>
    <row r="258" spans="1:7" ht="15">
      <c r="A258" s="44">
        <v>4</v>
      </c>
      <c r="B258" s="43" t="s">
        <v>1318</v>
      </c>
      <c r="C258" s="105">
        <f>C261+C259</f>
        <v>39477.35</v>
      </c>
      <c r="D258" s="105">
        <f>D261+D259</f>
        <v>173650</v>
      </c>
      <c r="E258" s="105">
        <f>E261+E259</f>
        <v>171728.52999999997</v>
      </c>
      <c r="F258" s="58">
        <f t="shared" si="19"/>
        <v>98.89348114022457</v>
      </c>
      <c r="G258" s="58">
        <f t="shared" si="21"/>
        <v>435.0052118493262</v>
      </c>
    </row>
    <row r="259" spans="1:7" ht="15">
      <c r="A259" s="44">
        <v>41</v>
      </c>
      <c r="B259" s="43" t="s">
        <v>1434</v>
      </c>
      <c r="C259" s="105">
        <f>C260</f>
        <v>0</v>
      </c>
      <c r="D259" s="105">
        <f>D260</f>
        <v>17250</v>
      </c>
      <c r="E259" s="105">
        <f>E260</f>
        <v>17223.81</v>
      </c>
      <c r="F259" s="58">
        <f t="shared" si="19"/>
        <v>99.84817391304348</v>
      </c>
      <c r="G259" s="58" t="e">
        <f t="shared" si="21"/>
        <v>#DIV/0!</v>
      </c>
    </row>
    <row r="260" spans="1:7" ht="15">
      <c r="A260" s="48">
        <v>4123</v>
      </c>
      <c r="B260" s="49" t="s">
        <v>1434</v>
      </c>
      <c r="C260" s="100">
        <v>0</v>
      </c>
      <c r="D260" s="100">
        <v>17250</v>
      </c>
      <c r="E260" s="100">
        <v>17223.81</v>
      </c>
      <c r="F260" s="58">
        <f t="shared" si="19"/>
        <v>99.84817391304348</v>
      </c>
      <c r="G260" s="58" t="e">
        <f t="shared" si="21"/>
        <v>#DIV/0!</v>
      </c>
    </row>
    <row r="261" spans="1:7" ht="15">
      <c r="A261" s="44">
        <v>42</v>
      </c>
      <c r="B261" s="43" t="s">
        <v>1319</v>
      </c>
      <c r="C261" s="105">
        <f>C268+C266+C262</f>
        <v>39477.35</v>
      </c>
      <c r="D261" s="105">
        <f>D268+D266+D262</f>
        <v>156400</v>
      </c>
      <c r="E261" s="105">
        <f>E268+E266+E262</f>
        <v>154504.71999999997</v>
      </c>
      <c r="F261" s="58">
        <f t="shared" si="19"/>
        <v>98.7881841432225</v>
      </c>
      <c r="G261" s="58">
        <f t="shared" si="21"/>
        <v>391.3756115848708</v>
      </c>
    </row>
    <row r="262" spans="1:7" ht="15">
      <c r="A262" s="44">
        <v>422</v>
      </c>
      <c r="B262" s="43" t="s">
        <v>1320</v>
      </c>
      <c r="C262" s="105">
        <f>C263+C264+C265</f>
        <v>35668.869999999995</v>
      </c>
      <c r="D262" s="105">
        <f>D263+D264+D265</f>
        <v>133900</v>
      </c>
      <c r="E262" s="105">
        <f>E263+E264+E265</f>
        <v>133800.61</v>
      </c>
      <c r="F262" s="58">
        <f t="shared" si="19"/>
        <v>99.92577296489917</v>
      </c>
      <c r="G262" s="58">
        <f t="shared" si="21"/>
        <v>375.11872397415453</v>
      </c>
    </row>
    <row r="263" spans="1:7" s="117" customFormat="1" ht="15">
      <c r="A263" s="72">
        <v>4221</v>
      </c>
      <c r="B263" s="49" t="s">
        <v>1285</v>
      </c>
      <c r="C263" s="104">
        <v>6712.5</v>
      </c>
      <c r="D263" s="104">
        <v>12800</v>
      </c>
      <c r="E263" s="104">
        <v>12789</v>
      </c>
      <c r="F263" s="58">
        <f t="shared" si="19"/>
        <v>99.9140625</v>
      </c>
      <c r="G263" s="58">
        <f t="shared" si="21"/>
        <v>190.52513966480447</v>
      </c>
    </row>
    <row r="264" spans="1:7" s="117" customFormat="1" ht="15">
      <c r="A264" s="72">
        <v>4224</v>
      </c>
      <c r="B264" s="73" t="s">
        <v>1440</v>
      </c>
      <c r="C264" s="105"/>
      <c r="D264" s="104">
        <v>16700</v>
      </c>
      <c r="E264" s="104">
        <v>16688.36</v>
      </c>
      <c r="F264" s="58">
        <f t="shared" si="19"/>
        <v>99.93029940119762</v>
      </c>
      <c r="G264" s="58" t="e">
        <f t="shared" si="21"/>
        <v>#DIV/0!</v>
      </c>
    </row>
    <row r="265" spans="1:7" s="117" customFormat="1" ht="15">
      <c r="A265" s="72">
        <v>4225</v>
      </c>
      <c r="B265" s="73" t="s">
        <v>1294</v>
      </c>
      <c r="C265" s="104">
        <v>28956.37</v>
      </c>
      <c r="D265" s="104">
        <v>104400</v>
      </c>
      <c r="E265" s="104">
        <v>104323.25</v>
      </c>
      <c r="F265" s="58">
        <f t="shared" si="19"/>
        <v>99.9264846743295</v>
      </c>
      <c r="G265" s="58">
        <f t="shared" si="21"/>
        <v>360.277375927991</v>
      </c>
    </row>
    <row r="266" spans="1:7" s="117" customFormat="1" ht="15">
      <c r="A266" s="44">
        <v>424</v>
      </c>
      <c r="B266" s="43" t="s">
        <v>1455</v>
      </c>
      <c r="C266" s="105">
        <f>C267</f>
        <v>3808.48</v>
      </c>
      <c r="D266" s="105">
        <f>D267</f>
        <v>15000</v>
      </c>
      <c r="E266" s="105">
        <f>E267</f>
        <v>13260.71</v>
      </c>
      <c r="F266" s="58">
        <f t="shared" si="19"/>
        <v>88.40473333333333</v>
      </c>
      <c r="G266" s="58">
        <f t="shared" si="21"/>
        <v>348.18904129731544</v>
      </c>
    </row>
    <row r="267" spans="1:7" s="117" customFormat="1" ht="15">
      <c r="A267" s="72">
        <v>4241</v>
      </c>
      <c r="B267" s="73" t="s">
        <v>1435</v>
      </c>
      <c r="C267" s="104">
        <v>3808.48</v>
      </c>
      <c r="D267" s="104">
        <v>15000</v>
      </c>
      <c r="E267" s="104">
        <v>13260.71</v>
      </c>
      <c r="F267" s="58">
        <f t="shared" si="19"/>
        <v>88.40473333333333</v>
      </c>
      <c r="G267" s="58">
        <f t="shared" si="21"/>
        <v>348.18904129731544</v>
      </c>
    </row>
    <row r="268" spans="1:7" s="117" customFormat="1" ht="15">
      <c r="A268" s="44">
        <v>426</v>
      </c>
      <c r="B268" s="43" t="s">
        <v>1456</v>
      </c>
      <c r="C268" s="105">
        <f>C269</f>
        <v>0</v>
      </c>
      <c r="D268" s="105">
        <f>D269</f>
        <v>7500</v>
      </c>
      <c r="E268" s="105">
        <f>E269</f>
        <v>7443.4</v>
      </c>
      <c r="F268" s="58">
        <f t="shared" si="19"/>
        <v>99.24533333333333</v>
      </c>
      <c r="G268" s="58" t="e">
        <f t="shared" si="21"/>
        <v>#DIV/0!</v>
      </c>
    </row>
    <row r="269" spans="1:7" ht="15">
      <c r="A269" s="72">
        <v>4262</v>
      </c>
      <c r="B269" s="49" t="s">
        <v>1454</v>
      </c>
      <c r="C269" s="100"/>
      <c r="D269" s="104">
        <v>7500</v>
      </c>
      <c r="E269" s="104">
        <v>7443.4</v>
      </c>
      <c r="F269" s="58">
        <f t="shared" si="19"/>
        <v>99.24533333333333</v>
      </c>
      <c r="G269" s="58" t="e">
        <f t="shared" si="21"/>
        <v>#DIV/0!</v>
      </c>
    </row>
    <row r="270" spans="1:7" ht="15">
      <c r="A270" s="51"/>
      <c r="B270" s="51" t="s">
        <v>522</v>
      </c>
      <c r="C270" s="102">
        <f>C271+C294</f>
        <v>138644.75</v>
      </c>
      <c r="D270" s="102">
        <f>D271</f>
        <v>421740</v>
      </c>
      <c r="E270" s="102">
        <f>E271</f>
        <v>423521.79</v>
      </c>
      <c r="F270" s="63">
        <f>E270/D270*100</f>
        <v>100.42248541755583</v>
      </c>
      <c r="G270" s="63">
        <f>E270/C270*100</f>
        <v>305.4726486217473</v>
      </c>
    </row>
    <row r="271" spans="1:7" ht="15">
      <c r="A271" s="44">
        <v>3</v>
      </c>
      <c r="B271" s="43" t="s">
        <v>1325</v>
      </c>
      <c r="C271" s="105">
        <f>C272+C279</f>
        <v>82920.01</v>
      </c>
      <c r="D271" s="105">
        <f>D272+D279</f>
        <v>421740</v>
      </c>
      <c r="E271" s="105">
        <f>E272+E279</f>
        <v>423521.79</v>
      </c>
      <c r="F271" s="58">
        <f>E271/D271</f>
        <v>1.0042248541755583</v>
      </c>
      <c r="G271" s="58">
        <f>E271/C271</f>
        <v>5.107594535987152</v>
      </c>
    </row>
    <row r="272" spans="1:7" s="117" customFormat="1" ht="15">
      <c r="A272" s="44">
        <v>31</v>
      </c>
      <c r="B272" s="43" t="s">
        <v>1296</v>
      </c>
      <c r="C272" s="105">
        <f>C273+C275+C277</f>
        <v>53053.52</v>
      </c>
      <c r="D272" s="105">
        <f>D273+D275+D277</f>
        <v>262200</v>
      </c>
      <c r="E272" s="105">
        <f>E273+E275+E277</f>
        <v>271600.62</v>
      </c>
      <c r="F272" s="58">
        <f aca="true" t="shared" si="22" ref="F272:F278">E272/D272</f>
        <v>1.0358528604118993</v>
      </c>
      <c r="G272" s="58">
        <f aca="true" t="shared" si="23" ref="G272:G278">E272/C272</f>
        <v>5.1193704018131125</v>
      </c>
    </row>
    <row r="273" spans="1:7" s="117" customFormat="1" ht="15">
      <c r="A273" s="44">
        <v>311</v>
      </c>
      <c r="B273" s="43" t="s">
        <v>1287</v>
      </c>
      <c r="C273" s="105">
        <f>C274</f>
        <v>50053.52</v>
      </c>
      <c r="D273" s="105">
        <f>D274</f>
        <v>250000</v>
      </c>
      <c r="E273" s="105">
        <f>E274</f>
        <v>249926.44</v>
      </c>
      <c r="F273" s="58">
        <f t="shared" si="22"/>
        <v>0.99970576</v>
      </c>
      <c r="G273" s="58">
        <f t="shared" si="23"/>
        <v>4.993184095743916</v>
      </c>
    </row>
    <row r="274" spans="1:7" s="117" customFormat="1" ht="15">
      <c r="A274" s="48">
        <v>3111</v>
      </c>
      <c r="B274" s="49" t="s">
        <v>1287</v>
      </c>
      <c r="C274" s="104">
        <v>50053.52</v>
      </c>
      <c r="D274" s="103">
        <v>250000</v>
      </c>
      <c r="E274" s="103">
        <v>249926.44</v>
      </c>
      <c r="F274" s="58">
        <f t="shared" si="22"/>
        <v>0.99970576</v>
      </c>
      <c r="G274" s="58">
        <f t="shared" si="23"/>
        <v>4.993184095743916</v>
      </c>
    </row>
    <row r="275" spans="1:7" s="117" customFormat="1" ht="15">
      <c r="A275" s="44">
        <v>312</v>
      </c>
      <c r="B275" s="43" t="s">
        <v>1288</v>
      </c>
      <c r="C275" s="105">
        <f>C276</f>
        <v>3000</v>
      </c>
      <c r="D275" s="105">
        <f>D276</f>
        <v>3000</v>
      </c>
      <c r="E275" s="105">
        <f>E276</f>
        <v>12500</v>
      </c>
      <c r="F275" s="58">
        <f t="shared" si="22"/>
        <v>4.166666666666667</v>
      </c>
      <c r="G275" s="58">
        <f t="shared" si="23"/>
        <v>4.166666666666667</v>
      </c>
    </row>
    <row r="276" spans="1:7" s="117" customFormat="1" ht="15">
      <c r="A276" s="48">
        <v>3121</v>
      </c>
      <c r="B276" s="49" t="s">
        <v>1288</v>
      </c>
      <c r="C276" s="104">
        <v>3000</v>
      </c>
      <c r="D276" s="103">
        <v>3000</v>
      </c>
      <c r="E276" s="103">
        <v>12500</v>
      </c>
      <c r="F276" s="58">
        <f t="shared" si="22"/>
        <v>4.166666666666667</v>
      </c>
      <c r="G276" s="58">
        <f t="shared" si="23"/>
        <v>4.166666666666667</v>
      </c>
    </row>
    <row r="277" spans="1:7" s="117" customFormat="1" ht="15">
      <c r="A277" s="44">
        <v>313</v>
      </c>
      <c r="B277" s="43" t="s">
        <v>1298</v>
      </c>
      <c r="C277" s="105">
        <f>C278</f>
        <v>0</v>
      </c>
      <c r="D277" s="105">
        <f>D278</f>
        <v>9200</v>
      </c>
      <c r="E277" s="105">
        <f>E278</f>
        <v>9174.18</v>
      </c>
      <c r="F277" s="58">
        <f t="shared" si="22"/>
        <v>0.9971934782608696</v>
      </c>
      <c r="G277" s="58" t="e">
        <f t="shared" si="23"/>
        <v>#DIV/0!</v>
      </c>
    </row>
    <row r="278" spans="1:7" s="117" customFormat="1" ht="15">
      <c r="A278" s="48">
        <v>3132</v>
      </c>
      <c r="B278" s="49" t="s">
        <v>1324</v>
      </c>
      <c r="C278" s="105"/>
      <c r="D278" s="103">
        <v>9200</v>
      </c>
      <c r="E278" s="103">
        <v>9174.18</v>
      </c>
      <c r="F278" s="58">
        <f t="shared" si="22"/>
        <v>0.9971934782608696</v>
      </c>
      <c r="G278" s="58" t="e">
        <f t="shared" si="23"/>
        <v>#DIV/0!</v>
      </c>
    </row>
    <row r="279" spans="1:7" ht="15">
      <c r="A279" s="44">
        <v>32</v>
      </c>
      <c r="B279" s="43" t="s">
        <v>1299</v>
      </c>
      <c r="C279" s="105">
        <f>C280+C284+C288</f>
        <v>29866.49</v>
      </c>
      <c r="D279" s="105">
        <f>D280+D284+D288</f>
        <v>159540</v>
      </c>
      <c r="E279" s="105">
        <f>E280+E284+E288</f>
        <v>151921.16999999998</v>
      </c>
      <c r="F279" s="58">
        <f aca="true" t="shared" si="24" ref="F279:F293">E279/D279</f>
        <v>0.9522450169236554</v>
      </c>
      <c r="G279" s="58">
        <f aca="true" t="shared" si="25" ref="G279:G293">E279/C279</f>
        <v>5.0866764055635585</v>
      </c>
    </row>
    <row r="280" spans="1:7" s="117" customFormat="1" ht="15">
      <c r="A280" s="44">
        <v>321</v>
      </c>
      <c r="B280" s="43" t="s">
        <v>1300</v>
      </c>
      <c r="C280" s="105">
        <f>C281+C282+C283</f>
        <v>528.1</v>
      </c>
      <c r="D280" s="105">
        <f>D281+D282+D283</f>
        <v>22930</v>
      </c>
      <c r="E280" s="105">
        <f>E281+E282+E283</f>
        <v>20496.75</v>
      </c>
      <c r="F280" s="58">
        <f t="shared" si="24"/>
        <v>0.8938835586567815</v>
      </c>
      <c r="G280" s="58">
        <f t="shared" si="25"/>
        <v>38.81225146752509</v>
      </c>
    </row>
    <row r="281" spans="1:7" s="117" customFormat="1" ht="15">
      <c r="A281" s="57">
        <v>3211</v>
      </c>
      <c r="B281" s="56" t="s">
        <v>1264</v>
      </c>
      <c r="C281" s="105"/>
      <c r="D281" s="103">
        <v>17000</v>
      </c>
      <c r="E281" s="103">
        <v>14577.09</v>
      </c>
      <c r="F281" s="58">
        <f t="shared" si="24"/>
        <v>0.8574758823529411</v>
      </c>
      <c r="G281" s="58" t="e">
        <f t="shared" si="25"/>
        <v>#DIV/0!</v>
      </c>
    </row>
    <row r="282" spans="1:7" s="117" customFormat="1" ht="15">
      <c r="A282" s="57">
        <v>3212</v>
      </c>
      <c r="B282" s="56" t="s">
        <v>1265</v>
      </c>
      <c r="C282" s="105">
        <v>528.1</v>
      </c>
      <c r="D282" s="103">
        <v>2700</v>
      </c>
      <c r="E282" s="103">
        <v>2690.7</v>
      </c>
      <c r="F282" s="58">
        <f t="shared" si="24"/>
        <v>0.9965555555555555</v>
      </c>
      <c r="G282" s="58">
        <f t="shared" si="25"/>
        <v>5.095057754213217</v>
      </c>
    </row>
    <row r="283" spans="1:7" s="117" customFormat="1" ht="15">
      <c r="A283" s="57">
        <v>3213</v>
      </c>
      <c r="B283" s="56" t="s">
        <v>1266</v>
      </c>
      <c r="C283" s="105"/>
      <c r="D283" s="103">
        <v>3230</v>
      </c>
      <c r="E283" s="103">
        <v>3228.96</v>
      </c>
      <c r="F283" s="58">
        <f t="shared" si="24"/>
        <v>0.9996780185758514</v>
      </c>
      <c r="G283" s="58" t="e">
        <f t="shared" si="25"/>
        <v>#DIV/0!</v>
      </c>
    </row>
    <row r="284" spans="1:7" ht="15">
      <c r="A284" s="44">
        <v>322</v>
      </c>
      <c r="B284" s="43" t="s">
        <v>1314</v>
      </c>
      <c r="C284" s="105">
        <f>C285+C286+C287</f>
        <v>305.4</v>
      </c>
      <c r="D284" s="105">
        <f>D287+D286</f>
        <v>55230</v>
      </c>
      <c r="E284" s="105">
        <f>E287+E286</f>
        <v>55285.97</v>
      </c>
      <c r="F284" s="58">
        <f t="shared" si="24"/>
        <v>1.0010133985152996</v>
      </c>
      <c r="G284" s="58">
        <f t="shared" si="25"/>
        <v>181.02806155861168</v>
      </c>
    </row>
    <row r="285" spans="1:7" s="117" customFormat="1" ht="15">
      <c r="A285" s="72">
        <v>3221</v>
      </c>
      <c r="B285" s="73" t="s">
        <v>1267</v>
      </c>
      <c r="C285" s="104">
        <v>305.4</v>
      </c>
      <c r="D285" s="105"/>
      <c r="E285" s="105"/>
      <c r="F285" s="58"/>
      <c r="G285" s="58"/>
    </row>
    <row r="286" spans="1:7" s="117" customFormat="1" ht="15">
      <c r="A286" s="57">
        <v>3222</v>
      </c>
      <c r="B286" s="56" t="s">
        <v>1446</v>
      </c>
      <c r="C286" s="105"/>
      <c r="D286" s="103">
        <v>43230</v>
      </c>
      <c r="E286" s="103">
        <v>43231.97</v>
      </c>
      <c r="F286" s="58">
        <f t="shared" si="24"/>
        <v>1.0000455702058755</v>
      </c>
      <c r="G286" s="58" t="e">
        <f t="shared" si="25"/>
        <v>#DIV/0!</v>
      </c>
    </row>
    <row r="287" spans="1:7" s="70" customFormat="1" ht="15">
      <c r="A287" s="57">
        <v>3224</v>
      </c>
      <c r="B287" s="56" t="s">
        <v>1447</v>
      </c>
      <c r="C287" s="104">
        <v>0</v>
      </c>
      <c r="D287" s="103">
        <v>12000</v>
      </c>
      <c r="E287" s="103">
        <v>12054</v>
      </c>
      <c r="F287" s="58">
        <f t="shared" si="24"/>
        <v>1.0045</v>
      </c>
      <c r="G287" s="58" t="e">
        <f t="shared" si="25"/>
        <v>#DIV/0!</v>
      </c>
    </row>
    <row r="288" spans="1:7" ht="15">
      <c r="A288" s="44">
        <v>323</v>
      </c>
      <c r="B288" s="43" t="s">
        <v>1315</v>
      </c>
      <c r="C288" s="105">
        <f>SUM(C289:C293)</f>
        <v>29032.99</v>
      </c>
      <c r="D288" s="105">
        <f>SUM(D289:D293)</f>
        <v>81380</v>
      </c>
      <c r="E288" s="105">
        <f>SUM(E289:E293)</f>
        <v>76138.45</v>
      </c>
      <c r="F288" s="58">
        <f t="shared" si="24"/>
        <v>0.9355916687146719</v>
      </c>
      <c r="G288" s="58">
        <f t="shared" si="25"/>
        <v>2.622480495463953</v>
      </c>
    </row>
    <row r="289" spans="1:7" ht="15">
      <c r="A289" s="48">
        <v>3232</v>
      </c>
      <c r="B289" s="49" t="s">
        <v>1272</v>
      </c>
      <c r="C289" s="104">
        <v>29032.99</v>
      </c>
      <c r="D289" s="103">
        <v>29100</v>
      </c>
      <c r="E289" s="103">
        <v>29112.5</v>
      </c>
      <c r="F289" s="58">
        <f t="shared" si="24"/>
        <v>1.0004295532646048</v>
      </c>
      <c r="G289" s="58">
        <f t="shared" si="25"/>
        <v>1.0027386087344086</v>
      </c>
    </row>
    <row r="290" spans="1:7" ht="15">
      <c r="A290" s="48">
        <v>3233</v>
      </c>
      <c r="B290" s="49" t="s">
        <v>1273</v>
      </c>
      <c r="C290" s="107">
        <f>C293</f>
        <v>0</v>
      </c>
      <c r="D290" s="103">
        <v>17180</v>
      </c>
      <c r="E290" s="103">
        <v>17159.19</v>
      </c>
      <c r="F290" s="58">
        <f t="shared" si="24"/>
        <v>0.9987887077997671</v>
      </c>
      <c r="G290" s="58" t="e">
        <f t="shared" si="25"/>
        <v>#DIV/0!</v>
      </c>
    </row>
    <row r="291" spans="1:7" s="117" customFormat="1" ht="15.75" customHeight="1">
      <c r="A291" s="57">
        <v>3239</v>
      </c>
      <c r="B291" s="56" t="s">
        <v>1279</v>
      </c>
      <c r="C291" s="107"/>
      <c r="D291" s="103">
        <v>5625</v>
      </c>
      <c r="E291" s="103">
        <v>5625</v>
      </c>
      <c r="F291" s="58">
        <f t="shared" si="24"/>
        <v>1</v>
      </c>
      <c r="G291" s="58" t="e">
        <f t="shared" si="25"/>
        <v>#DIV/0!</v>
      </c>
    </row>
    <row r="292" spans="1:7" s="117" customFormat="1" ht="15.75" customHeight="1">
      <c r="A292" s="57">
        <v>3293</v>
      </c>
      <c r="B292" s="56" t="s">
        <v>1289</v>
      </c>
      <c r="C292" s="107"/>
      <c r="D292" s="103">
        <v>200</v>
      </c>
      <c r="E292" s="103">
        <v>195</v>
      </c>
      <c r="F292" s="58">
        <f t="shared" si="24"/>
        <v>0.975</v>
      </c>
      <c r="G292" s="58" t="e">
        <f t="shared" si="25"/>
        <v>#DIV/0!</v>
      </c>
    </row>
    <row r="293" spans="1:7" ht="15">
      <c r="A293" s="57">
        <v>3299</v>
      </c>
      <c r="B293" s="56" t="s">
        <v>1283</v>
      </c>
      <c r="C293" s="103"/>
      <c r="D293" s="103">
        <v>29275</v>
      </c>
      <c r="E293" s="103">
        <v>24046.76</v>
      </c>
      <c r="F293" s="58">
        <f t="shared" si="24"/>
        <v>0.8214093936806148</v>
      </c>
      <c r="G293" s="58" t="e">
        <f t="shared" si="25"/>
        <v>#DIV/0!</v>
      </c>
    </row>
    <row r="294" spans="1:7" s="117" customFormat="1" ht="15">
      <c r="A294" s="44">
        <v>4</v>
      </c>
      <c r="B294" s="43" t="s">
        <v>1318</v>
      </c>
      <c r="C294" s="107">
        <f>C295+C298</f>
        <v>55724.740000000005</v>
      </c>
      <c r="D294" s="103"/>
      <c r="E294" s="103"/>
      <c r="F294" s="58"/>
      <c r="G294" s="58"/>
    </row>
    <row r="295" spans="1:7" s="117" customFormat="1" ht="15">
      <c r="A295" s="44">
        <v>41</v>
      </c>
      <c r="B295" s="43" t="s">
        <v>1458</v>
      </c>
      <c r="C295" s="107">
        <f>C297</f>
        <v>33120.76</v>
      </c>
      <c r="D295" s="103"/>
      <c r="E295" s="103"/>
      <c r="F295" s="58"/>
      <c r="G295" s="58"/>
    </row>
    <row r="296" spans="1:7" s="117" customFormat="1" ht="15">
      <c r="A296" s="44">
        <v>411</v>
      </c>
      <c r="B296" s="43" t="s">
        <v>1443</v>
      </c>
      <c r="C296" s="107"/>
      <c r="D296" s="103"/>
      <c r="E296" s="103"/>
      <c r="F296" s="58"/>
      <c r="G296" s="58"/>
    </row>
    <row r="297" spans="1:7" s="117" customFormat="1" ht="15">
      <c r="A297" s="48">
        <v>4123</v>
      </c>
      <c r="B297" s="49" t="s">
        <v>1434</v>
      </c>
      <c r="C297" s="103">
        <v>33120.76</v>
      </c>
      <c r="D297" s="103"/>
      <c r="E297" s="103"/>
      <c r="F297" s="58"/>
      <c r="G297" s="58"/>
    </row>
    <row r="298" spans="1:7" s="117" customFormat="1" ht="15">
      <c r="A298" s="44">
        <v>42</v>
      </c>
      <c r="B298" s="43" t="s">
        <v>1319</v>
      </c>
      <c r="C298" s="107">
        <f>C299</f>
        <v>22603.98</v>
      </c>
      <c r="D298" s="103"/>
      <c r="E298" s="103"/>
      <c r="F298" s="58"/>
      <c r="G298" s="58"/>
    </row>
    <row r="299" spans="1:7" s="117" customFormat="1" ht="15">
      <c r="A299" s="44">
        <v>422</v>
      </c>
      <c r="B299" s="43" t="s">
        <v>1320</v>
      </c>
      <c r="C299" s="107">
        <f>C300</f>
        <v>22603.98</v>
      </c>
      <c r="D299" s="103"/>
      <c r="E299" s="103"/>
      <c r="F299" s="58"/>
      <c r="G299" s="58"/>
    </row>
    <row r="300" spans="1:7" s="117" customFormat="1" ht="15">
      <c r="A300" s="72">
        <v>4221</v>
      </c>
      <c r="B300" s="49" t="s">
        <v>1285</v>
      </c>
      <c r="C300" s="103">
        <v>22603.98</v>
      </c>
      <c r="D300" s="103"/>
      <c r="E300" s="103"/>
      <c r="F300" s="58"/>
      <c r="G300" s="58"/>
    </row>
    <row r="301" spans="1:7" ht="15">
      <c r="A301" s="47"/>
      <c r="B301" s="47" t="s">
        <v>1286</v>
      </c>
      <c r="C301" s="101">
        <f>C4+C68+C127+C194+C221+C270</f>
        <v>23302225.250000004</v>
      </c>
      <c r="D301" s="101">
        <f>D4+D68+D127+D194+D221+D270</f>
        <v>25651476</v>
      </c>
      <c r="E301" s="101">
        <f>E4+E68+E127+E194+E221+E270</f>
        <v>25299853.939999998</v>
      </c>
      <c r="F301" s="101">
        <f>E301/D301*100</f>
        <v>98.62923264142772</v>
      </c>
      <c r="G301" s="62">
        <f>E301/C301*100</f>
        <v>108.57269496182556</v>
      </c>
    </row>
    <row r="302" spans="4:7" ht="15">
      <c r="D302" s="11"/>
      <c r="E302" s="11"/>
      <c r="F302" s="11"/>
      <c r="G302" s="11"/>
    </row>
    <row r="303" ht="15">
      <c r="F303" s="11"/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1" r:id="rId1"/>
  <rowBreaks count="2" manualBreakCount="2">
    <brk id="67" max="6" man="1"/>
    <brk id="19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zoomScale="89" zoomScaleNormal="89" zoomScalePageLayoutView="0" workbookViewId="0" topLeftCell="A175">
      <selection activeCell="E212" sqref="E212"/>
    </sheetView>
  </sheetViews>
  <sheetFormatPr defaultColWidth="0" defaultRowHeight="15"/>
  <cols>
    <col min="1" max="1" width="6.57421875" style="18" customWidth="1"/>
    <col min="2" max="2" width="67.8515625" style="18" customWidth="1"/>
    <col min="3" max="3" width="20.140625" style="18" customWidth="1"/>
    <col min="4" max="4" width="16.00390625" style="18" customWidth="1"/>
    <col min="5" max="5" width="16.00390625" style="84" customWidth="1"/>
    <col min="6" max="6" width="10.7109375" style="92" customWidth="1"/>
    <col min="7" max="7" width="10.28125" style="18" customWidth="1"/>
    <col min="8" max="9" width="9.140625" style="18" customWidth="1"/>
    <col min="10" max="10" width="15.7109375" style="18" customWidth="1"/>
    <col min="11" max="11" width="20.57421875" style="18" customWidth="1"/>
    <col min="12" max="250" width="9.140625" style="18" customWidth="1"/>
    <col min="251" max="251" width="7.421875" style="18" customWidth="1"/>
    <col min="252" max="252" width="52.57421875" style="18" customWidth="1"/>
    <col min="253" max="253" width="15.7109375" style="18" customWidth="1"/>
    <col min="254" max="254" width="12.57421875" style="18" customWidth="1"/>
    <col min="255" max="255" width="7.421875" style="18" customWidth="1"/>
    <col min="256" max="16384" width="0" style="18" hidden="1" customWidth="1"/>
  </cols>
  <sheetData>
    <row r="1" spans="2:7" ht="16.5" customHeight="1">
      <c r="B1" s="135"/>
      <c r="C1" s="135" t="s">
        <v>1258</v>
      </c>
      <c r="D1" s="135" t="s">
        <v>1259</v>
      </c>
      <c r="E1" s="135" t="s">
        <v>1258</v>
      </c>
      <c r="F1" s="135"/>
      <c r="G1" s="135"/>
    </row>
    <row r="2" spans="1:7" ht="16.5" customHeight="1">
      <c r="A2" s="136" t="s">
        <v>1402</v>
      </c>
      <c r="B2" s="126"/>
      <c r="C2" s="126"/>
      <c r="D2" s="126"/>
      <c r="E2" s="126"/>
      <c r="F2" s="126"/>
      <c r="G2" s="126"/>
    </row>
    <row r="3" spans="1:7" ht="42.75" customHeight="1">
      <c r="A3" s="54" t="s">
        <v>1301</v>
      </c>
      <c r="B3" s="67" t="s">
        <v>1326</v>
      </c>
      <c r="C3" s="53" t="s">
        <v>1398</v>
      </c>
      <c r="D3" s="53" t="s">
        <v>1426</v>
      </c>
      <c r="E3" s="94" t="s">
        <v>1427</v>
      </c>
      <c r="F3" s="26" t="s">
        <v>1362</v>
      </c>
      <c r="G3" s="26" t="s">
        <v>1388</v>
      </c>
    </row>
    <row r="4" spans="1:7" ht="15" customHeight="1">
      <c r="A4" s="66">
        <v>1</v>
      </c>
      <c r="B4" s="66">
        <v>2</v>
      </c>
      <c r="C4" s="90">
        <v>3</v>
      </c>
      <c r="D4" s="53">
        <v>4</v>
      </c>
      <c r="E4" s="95">
        <v>5</v>
      </c>
      <c r="F4" s="53">
        <v>6</v>
      </c>
      <c r="G4" s="53">
        <v>7</v>
      </c>
    </row>
    <row r="5" spans="1:7" ht="30" customHeight="1">
      <c r="A5" s="81"/>
      <c r="B5" s="81" t="s">
        <v>1414</v>
      </c>
      <c r="C5" s="82"/>
      <c r="D5" s="82"/>
      <c r="E5" s="96"/>
      <c r="F5" s="83"/>
      <c r="G5" s="83"/>
    </row>
    <row r="6" spans="1:7" ht="30.75" customHeight="1">
      <c r="A6" s="54"/>
      <c r="B6" s="54" t="s">
        <v>1413</v>
      </c>
      <c r="C6" s="55"/>
      <c r="D6" s="55"/>
      <c r="E6" s="97"/>
      <c r="F6" s="64"/>
      <c r="G6" s="64"/>
    </row>
    <row r="7" spans="1:7" ht="15" customHeight="1">
      <c r="A7" s="51"/>
      <c r="B7" s="51" t="s">
        <v>1261</v>
      </c>
      <c r="C7" s="119">
        <f>SUM(C8:C13)</f>
        <v>15152553.100000001</v>
      </c>
      <c r="D7" s="119">
        <f>SUM(D8:D13)</f>
        <v>16210723</v>
      </c>
      <c r="E7" s="119">
        <f>SUM(E8:E13)</f>
        <v>16217106.02</v>
      </c>
      <c r="F7" s="52">
        <f aca="true" t="shared" si="0" ref="F7:F13">E7/D7*100</f>
        <v>100.03937529498221</v>
      </c>
      <c r="G7" s="52">
        <f aca="true" t="shared" si="1" ref="G7:G13">E7/C7*100</f>
        <v>107.02556798827518</v>
      </c>
    </row>
    <row r="8" spans="1:11" ht="15" customHeight="1">
      <c r="A8" s="57">
        <v>3111</v>
      </c>
      <c r="B8" s="56" t="s">
        <v>1353</v>
      </c>
      <c r="C8" s="123">
        <v>12584147.15</v>
      </c>
      <c r="D8" s="103">
        <v>13363005</v>
      </c>
      <c r="E8" s="103">
        <v>13369932.6</v>
      </c>
      <c r="F8" s="91">
        <f t="shared" si="0"/>
        <v>100.05184163292613</v>
      </c>
      <c r="G8" s="91">
        <f t="shared" si="1"/>
        <v>106.2442487411632</v>
      </c>
      <c r="K8" s="109"/>
    </row>
    <row r="9" spans="1:7" ht="15" customHeight="1">
      <c r="A9" s="57">
        <v>3121</v>
      </c>
      <c r="B9" s="56" t="s">
        <v>1288</v>
      </c>
      <c r="C9" s="103">
        <v>299803.23</v>
      </c>
      <c r="D9" s="103">
        <v>353103</v>
      </c>
      <c r="E9" s="103">
        <v>352485.84</v>
      </c>
      <c r="F9" s="91">
        <f t="shared" si="0"/>
        <v>99.82521813748397</v>
      </c>
      <c r="G9" s="91">
        <f t="shared" si="1"/>
        <v>117.57239573436217</v>
      </c>
    </row>
    <row r="10" spans="1:7" ht="15" customHeight="1">
      <c r="A10" s="57">
        <v>3132</v>
      </c>
      <c r="B10" s="56" t="s">
        <v>1324</v>
      </c>
      <c r="C10" s="123">
        <v>2062246.76</v>
      </c>
      <c r="D10" s="103">
        <v>2190174</v>
      </c>
      <c r="E10" s="103">
        <v>2191317.11</v>
      </c>
      <c r="F10" s="91">
        <f t="shared" si="0"/>
        <v>100.05219265683914</v>
      </c>
      <c r="G10" s="91">
        <f t="shared" si="1"/>
        <v>106.25872482883668</v>
      </c>
    </row>
    <row r="11" spans="1:11" ht="15" customHeight="1">
      <c r="A11" s="57">
        <v>3212</v>
      </c>
      <c r="B11" s="56" t="s">
        <v>1265</v>
      </c>
      <c r="C11" s="103">
        <v>175530.96</v>
      </c>
      <c r="D11" s="103">
        <v>247316</v>
      </c>
      <c r="E11" s="103">
        <v>246245.47</v>
      </c>
      <c r="F11" s="91">
        <f t="shared" si="0"/>
        <v>99.56714082388524</v>
      </c>
      <c r="G11" s="91">
        <f t="shared" si="1"/>
        <v>140.2860612167791</v>
      </c>
      <c r="K11" s="109"/>
    </row>
    <row r="12" spans="1:7" ht="15" customHeight="1">
      <c r="A12" s="57">
        <v>3236</v>
      </c>
      <c r="B12" s="56" t="s">
        <v>1276</v>
      </c>
      <c r="C12" s="103">
        <v>10500</v>
      </c>
      <c r="D12" s="103">
        <v>34800</v>
      </c>
      <c r="E12" s="103">
        <v>34800</v>
      </c>
      <c r="F12" s="91">
        <f t="shared" si="0"/>
        <v>100</v>
      </c>
      <c r="G12" s="91">
        <f t="shared" si="1"/>
        <v>331.42857142857144</v>
      </c>
    </row>
    <row r="13" spans="1:7" ht="15" customHeight="1">
      <c r="A13" s="57">
        <v>3295</v>
      </c>
      <c r="B13" s="56" t="s">
        <v>1282</v>
      </c>
      <c r="C13" s="103">
        <v>20325</v>
      </c>
      <c r="D13" s="103">
        <v>22325</v>
      </c>
      <c r="E13" s="103">
        <v>22325</v>
      </c>
      <c r="F13" s="91">
        <f t="shared" si="0"/>
        <v>100</v>
      </c>
      <c r="G13" s="91">
        <f t="shared" si="1"/>
        <v>109.840098400984</v>
      </c>
    </row>
    <row r="14" spans="1:7" ht="30" customHeight="1">
      <c r="A14" s="81"/>
      <c r="B14" s="81" t="s">
        <v>1415</v>
      </c>
      <c r="C14" s="82"/>
      <c r="D14" s="82"/>
      <c r="E14" s="82"/>
      <c r="F14" s="83"/>
      <c r="G14" s="83"/>
    </row>
    <row r="15" spans="1:7" ht="32.25" customHeight="1">
      <c r="A15" s="54"/>
      <c r="B15" s="54" t="s">
        <v>862</v>
      </c>
      <c r="C15" s="68"/>
      <c r="D15" s="68"/>
      <c r="E15" s="97"/>
      <c r="F15" s="64"/>
      <c r="G15" s="64"/>
    </row>
    <row r="16" spans="1:7" ht="15" customHeight="1">
      <c r="A16" s="51"/>
      <c r="B16" s="51" t="s">
        <v>1261</v>
      </c>
      <c r="C16" s="119">
        <f>SUM(C17:C47)</f>
        <v>1573182.93</v>
      </c>
      <c r="D16" s="119">
        <f>SUM(D17:D47)</f>
        <v>1832777</v>
      </c>
      <c r="E16" s="119">
        <f>SUM(E17:E47)</f>
        <v>1539460.3699999999</v>
      </c>
      <c r="F16" s="52">
        <f>E16/D16*100</f>
        <v>83.9960546209386</v>
      </c>
      <c r="G16" s="52">
        <f>E16/C16*100</f>
        <v>97.85641203213412</v>
      </c>
    </row>
    <row r="17" spans="1:7" ht="15" customHeight="1">
      <c r="A17" s="57">
        <v>3211</v>
      </c>
      <c r="B17" s="56" t="s">
        <v>1264</v>
      </c>
      <c r="C17" s="124">
        <f>43208.13-13695</f>
        <v>29513.129999999997</v>
      </c>
      <c r="D17" s="103">
        <v>29370</v>
      </c>
      <c r="E17" s="103">
        <v>29368.33</v>
      </c>
      <c r="F17" s="91">
        <f>E17/D17*100</f>
        <v>99.9943139257746</v>
      </c>
      <c r="G17" s="91">
        <f>E17/C17*100</f>
        <v>99.50937091389494</v>
      </c>
    </row>
    <row r="18" spans="1:11" ht="15" customHeight="1">
      <c r="A18" s="57">
        <v>3213</v>
      </c>
      <c r="B18" s="56" t="s">
        <v>1266</v>
      </c>
      <c r="C18" s="124">
        <v>21633</v>
      </c>
      <c r="D18" s="103">
        <v>14950</v>
      </c>
      <c r="E18" s="103">
        <f>2700+14944.49</f>
        <v>17644.489999999998</v>
      </c>
      <c r="F18" s="91">
        <f aca="true" t="shared" si="2" ref="F18:F46">E18/D18*100</f>
        <v>118.02334448160533</v>
      </c>
      <c r="G18" s="91">
        <f aca="true" t="shared" si="3" ref="G18:G46">E18/C18*100</f>
        <v>81.56284380344843</v>
      </c>
      <c r="K18" s="120"/>
    </row>
    <row r="19" spans="1:11" ht="15" customHeight="1">
      <c r="A19" s="57">
        <v>3221</v>
      </c>
      <c r="B19" s="56" t="s">
        <v>1267</v>
      </c>
      <c r="C19" s="124">
        <v>86050.49</v>
      </c>
      <c r="D19" s="103">
        <v>111130</v>
      </c>
      <c r="E19" s="103">
        <f>78076.2+419.51</f>
        <v>78495.70999999999</v>
      </c>
      <c r="F19" s="91">
        <f t="shared" si="2"/>
        <v>70.63413119769638</v>
      </c>
      <c r="G19" s="91">
        <f t="shared" si="3"/>
        <v>91.22052646068603</v>
      </c>
      <c r="K19" s="120"/>
    </row>
    <row r="20" spans="1:11" ht="15" customHeight="1">
      <c r="A20" s="57">
        <v>3222</v>
      </c>
      <c r="B20" s="56" t="s">
        <v>1446</v>
      </c>
      <c r="C20" s="103">
        <v>19169.54</v>
      </c>
      <c r="D20" s="103">
        <v>1065000</v>
      </c>
      <c r="E20" s="103">
        <f>842362.99</f>
        <v>842362.99</v>
      </c>
      <c r="F20" s="91">
        <f t="shared" si="2"/>
        <v>79.09511643192488</v>
      </c>
      <c r="G20" s="91">
        <f t="shared" si="3"/>
        <v>4394.278579454697</v>
      </c>
      <c r="K20" s="120"/>
    </row>
    <row r="21" spans="1:7" ht="15" customHeight="1">
      <c r="A21" s="57">
        <v>3223</v>
      </c>
      <c r="B21" s="56" t="s">
        <v>1269</v>
      </c>
      <c r="C21" s="103">
        <v>669850.1</v>
      </c>
      <c r="D21" s="103"/>
      <c r="E21" s="103"/>
      <c r="F21" s="91"/>
      <c r="G21" s="91"/>
    </row>
    <row r="22" spans="1:7" ht="15" customHeight="1">
      <c r="A22" s="57">
        <v>3224</v>
      </c>
      <c r="B22" s="56" t="s">
        <v>1270</v>
      </c>
      <c r="C22" s="103">
        <v>13443.27</v>
      </c>
      <c r="D22" s="103">
        <v>20510</v>
      </c>
      <c r="E22" s="103">
        <f>18072.58+506.31-212.85</f>
        <v>18366.040000000005</v>
      </c>
      <c r="F22" s="91">
        <f t="shared" si="2"/>
        <v>89.54675767918091</v>
      </c>
      <c r="G22" s="91" t="s">
        <v>1424</v>
      </c>
    </row>
    <row r="23" spans="1:7" ht="15" customHeight="1">
      <c r="A23" s="57">
        <v>3225</v>
      </c>
      <c r="B23" s="56" t="s">
        <v>1420</v>
      </c>
      <c r="C23" s="103">
        <v>22103.16</v>
      </c>
      <c r="D23" s="103">
        <v>8705</v>
      </c>
      <c r="E23" s="103">
        <f>436+8704.42</f>
        <v>9140.42</v>
      </c>
      <c r="F23" s="91">
        <f t="shared" si="2"/>
        <v>105.0019529006318</v>
      </c>
      <c r="G23" s="91">
        <f t="shared" si="3"/>
        <v>41.35345353334093</v>
      </c>
    </row>
    <row r="24" spans="1:7" ht="15" customHeight="1">
      <c r="A24" s="57">
        <v>3231</v>
      </c>
      <c r="B24" s="56" t="s">
        <v>1271</v>
      </c>
      <c r="C24" s="103">
        <v>44225.46</v>
      </c>
      <c r="D24" s="103">
        <v>44000</v>
      </c>
      <c r="E24" s="103">
        <f>29414.13</f>
        <v>29414.13</v>
      </c>
      <c r="F24" s="91">
        <f t="shared" si="2"/>
        <v>66.85029545454546</v>
      </c>
      <c r="G24" s="91">
        <f t="shared" si="3"/>
        <v>66.50949475709241</v>
      </c>
    </row>
    <row r="25" spans="1:7" ht="15" customHeight="1">
      <c r="A25" s="57">
        <v>3232</v>
      </c>
      <c r="B25" s="56" t="s">
        <v>1272</v>
      </c>
      <c r="C25" s="103">
        <v>94598.97</v>
      </c>
      <c r="D25" s="103">
        <v>75000</v>
      </c>
      <c r="E25" s="103">
        <f>55177.89-287.88-9025.5</f>
        <v>45864.51</v>
      </c>
      <c r="F25" s="91">
        <f t="shared" si="2"/>
        <v>61.152680000000004</v>
      </c>
      <c r="G25" s="91">
        <f t="shared" si="3"/>
        <v>48.48309659185507</v>
      </c>
    </row>
    <row r="26" spans="1:7" ht="15" customHeight="1">
      <c r="A26" s="57">
        <v>3233</v>
      </c>
      <c r="B26" s="56" t="s">
        <v>1273</v>
      </c>
      <c r="C26" s="103">
        <v>86416.01</v>
      </c>
      <c r="D26" s="103">
        <v>43845</v>
      </c>
      <c r="E26" s="103">
        <f>39843.91+15351.75</f>
        <v>55195.66</v>
      </c>
      <c r="F26" s="91">
        <f t="shared" si="2"/>
        <v>125.88815144258183</v>
      </c>
      <c r="G26" s="91">
        <f t="shared" si="3"/>
        <v>63.872030194404964</v>
      </c>
    </row>
    <row r="27" spans="1:7" ht="15" customHeight="1">
      <c r="A27" s="57">
        <v>3234</v>
      </c>
      <c r="B27" s="56" t="s">
        <v>1274</v>
      </c>
      <c r="C27" s="103">
        <v>125455.95</v>
      </c>
      <c r="D27" s="103">
        <v>100000</v>
      </c>
      <c r="E27" s="103">
        <f>105470.25</f>
        <v>105470.25</v>
      </c>
      <c r="F27" s="91">
        <f t="shared" si="2"/>
        <v>105.47025000000001</v>
      </c>
      <c r="G27" s="91">
        <f t="shared" si="3"/>
        <v>84.06954791701789</v>
      </c>
    </row>
    <row r="28" spans="1:7" ht="15" customHeight="1">
      <c r="A28" s="57">
        <v>3235</v>
      </c>
      <c r="B28" s="56" t="s">
        <v>1275</v>
      </c>
      <c r="C28" s="103">
        <v>14285.79</v>
      </c>
      <c r="D28" s="103">
        <v>5705</v>
      </c>
      <c r="E28" s="103">
        <f>1203.79+3937.5</f>
        <v>5141.29</v>
      </c>
      <c r="F28" s="91">
        <f t="shared" si="2"/>
        <v>90.11901840490798</v>
      </c>
      <c r="G28" s="91">
        <f t="shared" si="3"/>
        <v>35.98883925915192</v>
      </c>
    </row>
    <row r="29" spans="1:7" ht="15" customHeight="1">
      <c r="A29" s="57">
        <v>3236</v>
      </c>
      <c r="B29" s="56" t="s">
        <v>1276</v>
      </c>
      <c r="C29" s="103">
        <v>4500</v>
      </c>
      <c r="D29" s="103">
        <v>5790</v>
      </c>
      <c r="E29" s="103">
        <f>3200</f>
        <v>3200</v>
      </c>
      <c r="F29" s="91">
        <f t="shared" si="2"/>
        <v>55.26770293609672</v>
      </c>
      <c r="G29" s="91">
        <f t="shared" si="3"/>
        <v>71.11111111111111</v>
      </c>
    </row>
    <row r="30" spans="1:7" ht="15" customHeight="1">
      <c r="A30" s="57">
        <v>3237</v>
      </c>
      <c r="B30" s="56" t="s">
        <v>1277</v>
      </c>
      <c r="C30" s="103">
        <v>77878.46</v>
      </c>
      <c r="D30" s="103">
        <v>36265</v>
      </c>
      <c r="E30" s="103">
        <f>36313.64</f>
        <v>36313.64</v>
      </c>
      <c r="F30" s="91">
        <f t="shared" si="2"/>
        <v>100.13412381083688</v>
      </c>
      <c r="G30" s="91">
        <f t="shared" si="3"/>
        <v>46.62860565039421</v>
      </c>
    </row>
    <row r="31" spans="1:7" ht="15" customHeight="1">
      <c r="A31" s="57">
        <v>3238</v>
      </c>
      <c r="B31" s="56" t="s">
        <v>1278</v>
      </c>
      <c r="C31" s="103">
        <v>22561.21</v>
      </c>
      <c r="D31" s="103">
        <v>35300</v>
      </c>
      <c r="E31" s="103">
        <f>34416.75-44.58</f>
        <v>34372.17</v>
      </c>
      <c r="F31" s="91">
        <f t="shared" si="2"/>
        <v>97.37158640226629</v>
      </c>
      <c r="G31" s="91">
        <f t="shared" si="3"/>
        <v>152.35073828043798</v>
      </c>
    </row>
    <row r="32" spans="1:7" ht="15" customHeight="1">
      <c r="A32" s="57">
        <v>3239</v>
      </c>
      <c r="B32" s="56" t="s">
        <v>1279</v>
      </c>
      <c r="C32" s="103">
        <v>102345.3</v>
      </c>
      <c r="D32" s="103">
        <v>109905</v>
      </c>
      <c r="E32" s="103">
        <f>99114.76+3875</f>
        <v>102989.76</v>
      </c>
      <c r="F32" s="91">
        <f t="shared" si="2"/>
        <v>93.7079841681452</v>
      </c>
      <c r="G32" s="91">
        <f t="shared" si="3"/>
        <v>100.62969183733887</v>
      </c>
    </row>
    <row r="33" spans="1:11" ht="15" customHeight="1">
      <c r="A33" s="57">
        <v>3241</v>
      </c>
      <c r="B33" s="56" t="s">
        <v>1395</v>
      </c>
      <c r="C33" s="103">
        <v>5756</v>
      </c>
      <c r="D33" s="103">
        <v>950</v>
      </c>
      <c r="E33" s="103">
        <v>944</v>
      </c>
      <c r="F33" s="91">
        <f t="shared" si="2"/>
        <v>99.36842105263159</v>
      </c>
      <c r="G33" s="91">
        <f t="shared" si="3"/>
        <v>16.400277970813065</v>
      </c>
      <c r="K33" s="109"/>
    </row>
    <row r="34" spans="1:11" ht="15" customHeight="1">
      <c r="A34" s="57">
        <v>3292</v>
      </c>
      <c r="B34" s="56" t="s">
        <v>1280</v>
      </c>
      <c r="C34" s="103">
        <v>73.57</v>
      </c>
      <c r="D34" s="103"/>
      <c r="E34" s="103"/>
      <c r="F34" s="91"/>
      <c r="G34" s="91"/>
      <c r="K34" s="109"/>
    </row>
    <row r="35" spans="1:10" ht="15" customHeight="1">
      <c r="A35" s="57">
        <v>3293</v>
      </c>
      <c r="B35" s="56" t="s">
        <v>1289</v>
      </c>
      <c r="C35" s="103">
        <v>0</v>
      </c>
      <c r="D35" s="103">
        <v>1322</v>
      </c>
      <c r="E35" s="103">
        <v>1322</v>
      </c>
      <c r="F35" s="91">
        <f t="shared" si="2"/>
        <v>100</v>
      </c>
      <c r="G35" s="91" t="e">
        <f t="shared" si="3"/>
        <v>#DIV/0!</v>
      </c>
      <c r="J35" s="109"/>
    </row>
    <row r="36" spans="1:7" ht="15" customHeight="1">
      <c r="A36" s="57">
        <v>3294</v>
      </c>
      <c r="B36" s="56" t="s">
        <v>1281</v>
      </c>
      <c r="C36" s="103">
        <v>6408.83</v>
      </c>
      <c r="D36" s="103">
        <v>6000</v>
      </c>
      <c r="E36" s="103">
        <v>6000</v>
      </c>
      <c r="F36" s="91">
        <f t="shared" si="2"/>
        <v>100</v>
      </c>
      <c r="G36" s="91">
        <f t="shared" si="3"/>
        <v>93.6208325076496</v>
      </c>
    </row>
    <row r="37" spans="1:7" ht="15" customHeight="1">
      <c r="A37" s="57">
        <v>3295</v>
      </c>
      <c r="B37" s="56" t="s">
        <v>1282</v>
      </c>
      <c r="C37" s="103">
        <v>0</v>
      </c>
      <c r="D37" s="103">
        <v>0</v>
      </c>
      <c r="E37" s="103"/>
      <c r="F37" s="91" t="e">
        <f t="shared" si="2"/>
        <v>#DIV/0!</v>
      </c>
      <c r="G37" s="91" t="e">
        <f t="shared" si="3"/>
        <v>#DIV/0!</v>
      </c>
    </row>
    <row r="38" spans="1:10" ht="15" customHeight="1">
      <c r="A38" s="57">
        <v>3299</v>
      </c>
      <c r="B38" s="56" t="s">
        <v>1283</v>
      </c>
      <c r="C38" s="103">
        <v>6862.95</v>
      </c>
      <c r="D38" s="103">
        <v>2900</v>
      </c>
      <c r="E38" s="103">
        <f>9081.26-62.5</f>
        <v>9018.76</v>
      </c>
      <c r="F38" s="91">
        <f t="shared" si="2"/>
        <v>310.99172413793104</v>
      </c>
      <c r="G38" s="91">
        <f t="shared" si="3"/>
        <v>131.41229354723552</v>
      </c>
      <c r="J38" s="109"/>
    </row>
    <row r="39" spans="1:10" ht="15" customHeight="1">
      <c r="A39" s="57">
        <v>3431</v>
      </c>
      <c r="B39" s="56" t="s">
        <v>1284</v>
      </c>
      <c r="C39" s="103">
        <v>7691.3</v>
      </c>
      <c r="D39" s="103">
        <v>15900</v>
      </c>
      <c r="E39" s="103">
        <f>10498.28-1953.73</f>
        <v>8544.550000000001</v>
      </c>
      <c r="F39" s="91">
        <f t="shared" si="2"/>
        <v>53.73930817610063</v>
      </c>
      <c r="G39" s="91">
        <f t="shared" si="3"/>
        <v>111.09370327512906</v>
      </c>
      <c r="J39" s="109"/>
    </row>
    <row r="40" spans="1:7" ht="15" customHeight="1">
      <c r="A40" s="57">
        <v>3434</v>
      </c>
      <c r="B40" s="49" t="s">
        <v>1364</v>
      </c>
      <c r="C40" s="103">
        <v>0</v>
      </c>
      <c r="D40" s="103">
        <v>0</v>
      </c>
      <c r="E40" s="103">
        <v>67.21</v>
      </c>
      <c r="F40" s="91" t="e">
        <f t="shared" si="2"/>
        <v>#DIV/0!</v>
      </c>
      <c r="G40" s="91" t="e">
        <f t="shared" si="3"/>
        <v>#DIV/0!</v>
      </c>
    </row>
    <row r="41" spans="1:7" ht="15" customHeight="1">
      <c r="A41" s="57">
        <v>3691</v>
      </c>
      <c r="B41" s="56" t="s">
        <v>1366</v>
      </c>
      <c r="C41" s="103">
        <v>0</v>
      </c>
      <c r="D41" s="103">
        <v>0</v>
      </c>
      <c r="E41" s="103">
        <v>0</v>
      </c>
      <c r="F41" s="91" t="e">
        <f t="shared" si="2"/>
        <v>#DIV/0!</v>
      </c>
      <c r="G41" s="91" t="e">
        <f t="shared" si="3"/>
        <v>#DIV/0!</v>
      </c>
    </row>
    <row r="42" spans="1:7" ht="15" customHeight="1">
      <c r="A42" s="57">
        <v>4123</v>
      </c>
      <c r="B42" s="56" t="s">
        <v>1434</v>
      </c>
      <c r="C42" s="103">
        <v>0</v>
      </c>
      <c r="D42" s="103">
        <v>2780</v>
      </c>
      <c r="E42" s="103">
        <v>2776.19</v>
      </c>
      <c r="F42" s="91">
        <f t="shared" si="2"/>
        <v>99.86294964028777</v>
      </c>
      <c r="G42" s="91" t="e">
        <f t="shared" si="3"/>
        <v>#DIV/0!</v>
      </c>
    </row>
    <row r="43" spans="1:7" ht="15" customHeight="1">
      <c r="A43" s="57">
        <v>4221</v>
      </c>
      <c r="B43" s="56" t="s">
        <v>1285</v>
      </c>
      <c r="C43" s="103">
        <v>57329.24</v>
      </c>
      <c r="D43" s="103">
        <v>65635</v>
      </c>
      <c r="E43" s="103">
        <v>65633.99</v>
      </c>
      <c r="F43" s="91">
        <f t="shared" si="2"/>
        <v>99.99846118686678</v>
      </c>
      <c r="G43" s="91">
        <f t="shared" si="3"/>
        <v>114.48606330731054</v>
      </c>
    </row>
    <row r="44" spans="1:7" ht="15" customHeight="1">
      <c r="A44" s="57">
        <v>4224</v>
      </c>
      <c r="B44" s="56" t="s">
        <v>1440</v>
      </c>
      <c r="C44" s="103">
        <v>3662.5</v>
      </c>
      <c r="D44" s="103"/>
      <c r="E44" s="103"/>
      <c r="F44" s="91"/>
      <c r="G44" s="91"/>
    </row>
    <row r="45" spans="1:7" ht="15" customHeight="1">
      <c r="A45" s="57">
        <v>4225</v>
      </c>
      <c r="B45" s="56" t="s">
        <v>1294</v>
      </c>
      <c r="C45" s="103">
        <v>44543.71</v>
      </c>
      <c r="D45" s="103">
        <v>29085</v>
      </c>
      <c r="E45" s="103">
        <v>29084.28</v>
      </c>
      <c r="F45" s="91">
        <f t="shared" si="2"/>
        <v>99.99752449716348</v>
      </c>
      <c r="G45" s="91"/>
    </row>
    <row r="46" spans="1:7" ht="15" customHeight="1">
      <c r="A46" s="57">
        <v>4241</v>
      </c>
      <c r="B46" s="56" t="s">
        <v>1435</v>
      </c>
      <c r="C46" s="103">
        <v>3967.49</v>
      </c>
      <c r="D46" s="103">
        <v>2730</v>
      </c>
      <c r="E46" s="103">
        <v>2730</v>
      </c>
      <c r="F46" s="91">
        <f t="shared" si="2"/>
        <v>100</v>
      </c>
      <c r="G46" s="91">
        <f t="shared" si="3"/>
        <v>68.80924715626253</v>
      </c>
    </row>
    <row r="47" spans="1:7" ht="15" customHeight="1">
      <c r="A47" s="57">
        <v>4262</v>
      </c>
      <c r="B47" s="56" t="s">
        <v>1453</v>
      </c>
      <c r="C47" s="103">
        <v>2857.5</v>
      </c>
      <c r="D47" s="103"/>
      <c r="E47" s="103"/>
      <c r="F47" s="91"/>
      <c r="G47" s="91"/>
    </row>
    <row r="48" spans="1:7" ht="31.5" customHeight="1">
      <c r="A48" s="54"/>
      <c r="B48" s="54" t="s">
        <v>1430</v>
      </c>
      <c r="C48" s="68"/>
      <c r="D48" s="68"/>
      <c r="E48" s="68"/>
      <c r="F48" s="64"/>
      <c r="G48" s="64"/>
    </row>
    <row r="49" spans="1:10" ht="15" customHeight="1">
      <c r="A49" s="51"/>
      <c r="B49" s="51" t="s">
        <v>1261</v>
      </c>
      <c r="C49" s="119">
        <f>SUM(C50:C54)</f>
        <v>0</v>
      </c>
      <c r="D49" s="119">
        <f>SUM(D50:D54)</f>
        <v>87900</v>
      </c>
      <c r="E49" s="119">
        <f>SUM(E50:E54)</f>
        <v>80520.52</v>
      </c>
      <c r="F49" s="88">
        <f aca="true" t="shared" si="4" ref="F49:F54">E49/D49</f>
        <v>0.9160468714448237</v>
      </c>
      <c r="G49" s="88" t="e">
        <f aca="true" t="shared" si="5" ref="G49:G54">E49/C49</f>
        <v>#DIV/0!</v>
      </c>
      <c r="J49" s="109"/>
    </row>
    <row r="50" spans="1:7" ht="15" customHeight="1">
      <c r="A50" s="57">
        <v>3111</v>
      </c>
      <c r="B50" s="56" t="s">
        <v>1353</v>
      </c>
      <c r="C50" s="103">
        <v>0</v>
      </c>
      <c r="D50" s="103">
        <v>43900</v>
      </c>
      <c r="E50" s="103">
        <v>42014.07</v>
      </c>
      <c r="F50" s="91">
        <f t="shared" si="4"/>
        <v>0.9570403189066059</v>
      </c>
      <c r="G50" s="91" t="e">
        <f t="shared" si="5"/>
        <v>#DIV/0!</v>
      </c>
    </row>
    <row r="51" spans="1:7" ht="15" customHeight="1">
      <c r="A51" s="57">
        <v>3132</v>
      </c>
      <c r="B51" s="56" t="s">
        <v>1324</v>
      </c>
      <c r="C51" s="103">
        <v>0</v>
      </c>
      <c r="D51" s="103">
        <v>7560</v>
      </c>
      <c r="E51" s="103">
        <v>6512.24</v>
      </c>
      <c r="F51" s="91">
        <f t="shared" si="4"/>
        <v>0.8614074074074074</v>
      </c>
      <c r="G51" s="91" t="e">
        <f t="shared" si="5"/>
        <v>#DIV/0!</v>
      </c>
    </row>
    <row r="52" spans="1:7" ht="15" customHeight="1">
      <c r="A52" s="57">
        <v>3133</v>
      </c>
      <c r="B52" s="49" t="s">
        <v>1433</v>
      </c>
      <c r="C52" s="103">
        <v>0</v>
      </c>
      <c r="D52" s="103">
        <v>1110</v>
      </c>
      <c r="E52" s="103">
        <v>714.21</v>
      </c>
      <c r="F52" s="91">
        <f t="shared" si="4"/>
        <v>0.6434324324324324</v>
      </c>
      <c r="G52" s="91" t="e">
        <f t="shared" si="5"/>
        <v>#DIV/0!</v>
      </c>
    </row>
    <row r="53" spans="1:7" ht="15" customHeight="1">
      <c r="A53" s="57">
        <v>3296</v>
      </c>
      <c r="B53" s="56" t="s">
        <v>1431</v>
      </c>
      <c r="C53" s="103">
        <v>0</v>
      </c>
      <c r="D53" s="103">
        <v>16875</v>
      </c>
      <c r="E53" s="103">
        <v>14462.7</v>
      </c>
      <c r="F53" s="91">
        <f t="shared" si="4"/>
        <v>0.857048888888889</v>
      </c>
      <c r="G53" s="91" t="e">
        <f t="shared" si="5"/>
        <v>#DIV/0!</v>
      </c>
    </row>
    <row r="54" spans="1:7" ht="15" customHeight="1">
      <c r="A54" s="57">
        <v>3433</v>
      </c>
      <c r="B54" s="56" t="s">
        <v>1364</v>
      </c>
      <c r="C54" s="103">
        <v>0</v>
      </c>
      <c r="D54" s="103">
        <v>18455</v>
      </c>
      <c r="E54" s="103">
        <v>16817.3</v>
      </c>
      <c r="F54" s="91">
        <f t="shared" si="4"/>
        <v>0.9112598211866703</v>
      </c>
      <c r="G54" s="91" t="e">
        <f t="shared" si="5"/>
        <v>#DIV/0!</v>
      </c>
    </row>
    <row r="55" spans="1:7" ht="30" customHeight="1">
      <c r="A55" s="81"/>
      <c r="B55" s="81" t="s">
        <v>1416</v>
      </c>
      <c r="C55" s="82"/>
      <c r="D55" s="82"/>
      <c r="E55" s="82"/>
      <c r="F55" s="83"/>
      <c r="G55" s="83"/>
    </row>
    <row r="56" spans="1:7" ht="15" customHeight="1">
      <c r="A56" s="54"/>
      <c r="B56" s="54" t="s">
        <v>1417</v>
      </c>
      <c r="C56" s="55"/>
      <c r="D56" s="55"/>
      <c r="E56" s="55"/>
      <c r="F56" s="64"/>
      <c r="G56" s="64"/>
    </row>
    <row r="57" spans="1:9" ht="15" customHeight="1">
      <c r="A57" s="51"/>
      <c r="B57" s="51" t="s">
        <v>18</v>
      </c>
      <c r="C57" s="119">
        <f>SUM(C58:C69)</f>
        <v>439214.35000000003</v>
      </c>
      <c r="D57" s="119">
        <f>SUM(D58:D69)</f>
        <v>393931</v>
      </c>
      <c r="E57" s="119">
        <f>SUM(E58:E69)</f>
        <v>424341.43</v>
      </c>
      <c r="F57" s="88">
        <f>E57/D57*100</f>
        <v>107.71973518204965</v>
      </c>
      <c r="G57" s="88">
        <f>E57/C57*100</f>
        <v>96.61374451904861</v>
      </c>
      <c r="I57" s="109"/>
    </row>
    <row r="58" spans="1:7" ht="15" customHeight="1">
      <c r="A58" s="57">
        <v>3111</v>
      </c>
      <c r="B58" s="56" t="s">
        <v>1353</v>
      </c>
      <c r="C58" s="103">
        <v>274029.69</v>
      </c>
      <c r="D58" s="103">
        <v>275855</v>
      </c>
      <c r="E58" s="103">
        <v>275018.67</v>
      </c>
      <c r="F58" s="91">
        <f>E58/D58*100</f>
        <v>99.69682260607927</v>
      </c>
      <c r="G58" s="91">
        <f>E58/C58*100</f>
        <v>100.36090249928758</v>
      </c>
    </row>
    <row r="59" spans="1:7" ht="15" customHeight="1">
      <c r="A59" s="57">
        <v>3121</v>
      </c>
      <c r="B59" s="56" t="s">
        <v>1288</v>
      </c>
      <c r="C59" s="103">
        <v>7000</v>
      </c>
      <c r="D59" s="103">
        <v>8250</v>
      </c>
      <c r="E59" s="103">
        <v>10750</v>
      </c>
      <c r="F59" s="91">
        <f aca="true" t="shared" si="6" ref="F59:F69">E59/D59*100</f>
        <v>130.3030303030303</v>
      </c>
      <c r="G59" s="91">
        <f aca="true" t="shared" si="7" ref="G59:G69">E59/C59*100</f>
        <v>153.57142857142858</v>
      </c>
    </row>
    <row r="60" spans="1:7" ht="15" customHeight="1">
      <c r="A60" s="57">
        <v>3132</v>
      </c>
      <c r="B60" s="56" t="s">
        <v>1324</v>
      </c>
      <c r="C60" s="103">
        <v>45214.9</v>
      </c>
      <c r="D60" s="103">
        <v>47336</v>
      </c>
      <c r="E60" s="103">
        <v>45378.01</v>
      </c>
      <c r="F60" s="91">
        <f t="shared" si="6"/>
        <v>95.86363444312997</v>
      </c>
      <c r="G60" s="91">
        <f t="shared" si="7"/>
        <v>100.36074391406373</v>
      </c>
    </row>
    <row r="61" spans="1:7" ht="15" customHeight="1">
      <c r="A61" s="57">
        <v>3211</v>
      </c>
      <c r="B61" s="56" t="s">
        <v>1264</v>
      </c>
      <c r="C61" s="103">
        <v>30126.58</v>
      </c>
      <c r="D61" s="103">
        <v>33700</v>
      </c>
      <c r="E61" s="103">
        <v>36857.4</v>
      </c>
      <c r="F61" s="91">
        <f t="shared" si="6"/>
        <v>109.36913946587536</v>
      </c>
      <c r="G61" s="91">
        <f t="shared" si="7"/>
        <v>122.34179916870748</v>
      </c>
    </row>
    <row r="62" spans="1:7" ht="15" customHeight="1">
      <c r="A62" s="57">
        <v>3213</v>
      </c>
      <c r="B62" s="56" t="s">
        <v>1266</v>
      </c>
      <c r="C62" s="103">
        <v>1428.54</v>
      </c>
      <c r="D62" s="103"/>
      <c r="E62" s="103"/>
      <c r="F62" s="91"/>
      <c r="G62" s="91"/>
    </row>
    <row r="63" spans="1:7" ht="15" customHeight="1">
      <c r="A63" s="57">
        <v>3221</v>
      </c>
      <c r="B63" s="56" t="s">
        <v>1267</v>
      </c>
      <c r="C63" s="103">
        <v>0</v>
      </c>
      <c r="D63" s="103">
        <v>0</v>
      </c>
      <c r="E63" s="103">
        <v>365.5</v>
      </c>
      <c r="F63" s="91" t="e">
        <f t="shared" si="6"/>
        <v>#DIV/0!</v>
      </c>
      <c r="G63" s="91" t="e">
        <f t="shared" si="7"/>
        <v>#DIV/0!</v>
      </c>
    </row>
    <row r="64" spans="1:7" ht="15" customHeight="1">
      <c r="A64" s="57">
        <v>3233</v>
      </c>
      <c r="B64" s="56" t="s">
        <v>1423</v>
      </c>
      <c r="C64" s="103">
        <v>0</v>
      </c>
      <c r="D64" s="103">
        <v>0</v>
      </c>
      <c r="E64" s="103">
        <v>24356.85</v>
      </c>
      <c r="F64" s="91" t="e">
        <f t="shared" si="6"/>
        <v>#DIV/0!</v>
      </c>
      <c r="G64" s="91" t="e">
        <f t="shared" si="7"/>
        <v>#DIV/0!</v>
      </c>
    </row>
    <row r="65" spans="1:7" ht="15" customHeight="1">
      <c r="A65" s="57">
        <v>3239</v>
      </c>
      <c r="B65" s="56" t="s">
        <v>1279</v>
      </c>
      <c r="C65" s="103">
        <v>0</v>
      </c>
      <c r="D65" s="103">
        <v>0</v>
      </c>
      <c r="E65" s="103">
        <v>648</v>
      </c>
      <c r="F65" s="91" t="e">
        <f t="shared" si="6"/>
        <v>#DIV/0!</v>
      </c>
      <c r="G65" s="91" t="e">
        <f t="shared" si="7"/>
        <v>#DIV/0!</v>
      </c>
    </row>
    <row r="66" spans="1:7" ht="15" customHeight="1">
      <c r="A66" s="86" t="s">
        <v>1379</v>
      </c>
      <c r="B66" s="56" t="s">
        <v>1289</v>
      </c>
      <c r="C66" s="103">
        <v>0</v>
      </c>
      <c r="D66" s="103">
        <v>0</v>
      </c>
      <c r="E66" s="103">
        <v>2177</v>
      </c>
      <c r="F66" s="91" t="e">
        <f t="shared" si="6"/>
        <v>#DIV/0!</v>
      </c>
      <c r="G66" s="91" t="e">
        <f t="shared" si="7"/>
        <v>#DIV/0!</v>
      </c>
    </row>
    <row r="67" spans="1:7" ht="15" customHeight="1">
      <c r="A67" s="86">
        <v>3299</v>
      </c>
      <c r="B67" s="56" t="s">
        <v>1283</v>
      </c>
      <c r="C67" s="103">
        <v>21504.64</v>
      </c>
      <c r="D67" s="103"/>
      <c r="E67" s="103"/>
      <c r="F67" s="91"/>
      <c r="G67" s="91"/>
    </row>
    <row r="68" spans="1:7" ht="15" customHeight="1">
      <c r="A68" s="86">
        <v>3721</v>
      </c>
      <c r="B68" s="56" t="s">
        <v>1438</v>
      </c>
      <c r="C68" s="103">
        <v>15000</v>
      </c>
      <c r="D68" s="103">
        <v>15300</v>
      </c>
      <c r="E68" s="103">
        <v>15300</v>
      </c>
      <c r="F68" s="91">
        <f t="shared" si="6"/>
        <v>100</v>
      </c>
      <c r="G68" s="91">
        <f t="shared" si="7"/>
        <v>102</v>
      </c>
    </row>
    <row r="69" spans="1:7" ht="15" customHeight="1">
      <c r="A69" s="57">
        <v>4221</v>
      </c>
      <c r="B69" s="56" t="s">
        <v>1285</v>
      </c>
      <c r="C69" s="103">
        <v>44910</v>
      </c>
      <c r="D69" s="103">
        <v>13490</v>
      </c>
      <c r="E69" s="103">
        <v>13490</v>
      </c>
      <c r="F69" s="91">
        <f t="shared" si="6"/>
        <v>100</v>
      </c>
      <c r="G69" s="91">
        <f t="shared" si="7"/>
        <v>30.037853484747274</v>
      </c>
    </row>
    <row r="70" spans="1:7" ht="30" customHeight="1">
      <c r="A70" s="81"/>
      <c r="B70" s="81" t="s">
        <v>1418</v>
      </c>
      <c r="C70" s="82"/>
      <c r="D70" s="82"/>
      <c r="E70" s="82"/>
      <c r="F70" s="83"/>
      <c r="G70" s="83"/>
    </row>
    <row r="71" spans="1:7" ht="15" customHeight="1">
      <c r="A71" s="54"/>
      <c r="B71" s="54" t="s">
        <v>1419</v>
      </c>
      <c r="C71" s="68"/>
      <c r="D71" s="68"/>
      <c r="E71" s="68"/>
      <c r="F71" s="64"/>
      <c r="G71" s="64"/>
    </row>
    <row r="72" spans="1:7" ht="15" customHeight="1">
      <c r="A72" s="51"/>
      <c r="B72" s="51" t="s">
        <v>1262</v>
      </c>
      <c r="C72" s="119">
        <f>SUM(C73:C112)</f>
        <v>4088146.770000001</v>
      </c>
      <c r="D72" s="119">
        <f>SUM(D73:D112)</f>
        <v>2613590</v>
      </c>
      <c r="E72" s="119">
        <f>SUM(E73:E112)</f>
        <v>2653144.9400000004</v>
      </c>
      <c r="F72" s="88">
        <f>E72/D72*100</f>
        <v>101.51343324698978</v>
      </c>
      <c r="G72" s="88">
        <f>E72/C72*100</f>
        <v>64.89847574626093</v>
      </c>
    </row>
    <row r="73" spans="1:7" ht="15" customHeight="1">
      <c r="A73" s="86" t="s">
        <v>1369</v>
      </c>
      <c r="B73" s="56" t="s">
        <v>1353</v>
      </c>
      <c r="C73" s="103">
        <v>1253593.3</v>
      </c>
      <c r="D73" s="103">
        <v>275000</v>
      </c>
      <c r="E73" s="103">
        <v>270727.65</v>
      </c>
      <c r="F73" s="91">
        <f>E73/D73*100</f>
        <v>98.44641818181819</v>
      </c>
      <c r="G73" s="91">
        <f>E73/C73*100</f>
        <v>21.596130898274584</v>
      </c>
    </row>
    <row r="74" spans="1:7" ht="15" customHeight="1">
      <c r="A74" s="86">
        <v>3121</v>
      </c>
      <c r="B74" s="56" t="s">
        <v>1288</v>
      </c>
      <c r="C74" s="103">
        <v>163353.86</v>
      </c>
      <c r="D74" s="103">
        <v>250000</v>
      </c>
      <c r="E74" s="123">
        <v>236469.54</v>
      </c>
      <c r="F74" s="91">
        <f aca="true" t="shared" si="8" ref="F74:F112">E74/D74*100</f>
        <v>94.587816</v>
      </c>
      <c r="G74" s="91">
        <f aca="true" t="shared" si="9" ref="G74:G112">E74/C74*100</f>
        <v>144.7590770123216</v>
      </c>
    </row>
    <row r="75" spans="1:7" ht="15" customHeight="1">
      <c r="A75" s="86" t="s">
        <v>1370</v>
      </c>
      <c r="B75" s="56" t="s">
        <v>1324</v>
      </c>
      <c r="C75" s="103">
        <v>207068.1</v>
      </c>
      <c r="D75" s="103">
        <v>47300</v>
      </c>
      <c r="E75" s="103">
        <v>44670.02</v>
      </c>
      <c r="F75" s="91">
        <f t="shared" si="8"/>
        <v>94.43978858350951</v>
      </c>
      <c r="G75" s="91">
        <f t="shared" si="9"/>
        <v>21.57262272653296</v>
      </c>
    </row>
    <row r="76" spans="1:11" ht="15" customHeight="1">
      <c r="A76" s="86">
        <v>3211</v>
      </c>
      <c r="B76" s="56" t="s">
        <v>1264</v>
      </c>
      <c r="C76" s="103">
        <v>76410.47</v>
      </c>
      <c r="D76" s="103">
        <v>70000</v>
      </c>
      <c r="E76" s="103">
        <v>74131.86</v>
      </c>
      <c r="F76" s="91">
        <f t="shared" si="8"/>
        <v>105.90265714285714</v>
      </c>
      <c r="G76" s="91">
        <f t="shared" si="9"/>
        <v>97.01793484583985</v>
      </c>
      <c r="K76" s="109"/>
    </row>
    <row r="77" spans="1:7" ht="15" customHeight="1">
      <c r="A77" s="86">
        <v>3212</v>
      </c>
      <c r="B77" s="56" t="s">
        <v>1265</v>
      </c>
      <c r="C77" s="103">
        <v>13650.48</v>
      </c>
      <c r="D77" s="103">
        <v>2600</v>
      </c>
      <c r="E77" s="103">
        <v>2718.14</v>
      </c>
      <c r="F77" s="91">
        <f t="shared" si="8"/>
        <v>104.54384615384615</v>
      </c>
      <c r="G77" s="91">
        <f t="shared" si="9"/>
        <v>19.912413336380844</v>
      </c>
    </row>
    <row r="78" spans="1:7" ht="15" customHeight="1">
      <c r="A78" s="86" t="s">
        <v>1371</v>
      </c>
      <c r="B78" s="56" t="s">
        <v>1266</v>
      </c>
      <c r="C78" s="103">
        <v>79365.73</v>
      </c>
      <c r="D78" s="103">
        <v>66500</v>
      </c>
      <c r="E78" s="103">
        <v>66891.59</v>
      </c>
      <c r="F78" s="91">
        <f t="shared" si="8"/>
        <v>100.58885714285715</v>
      </c>
      <c r="G78" s="91">
        <f t="shared" si="9"/>
        <v>84.28271245032333</v>
      </c>
    </row>
    <row r="79" spans="1:7" ht="15" customHeight="1">
      <c r="A79" s="86">
        <v>3214</v>
      </c>
      <c r="B79" s="56" t="s">
        <v>1395</v>
      </c>
      <c r="C79" s="103">
        <v>84</v>
      </c>
      <c r="D79" s="103">
        <v>500</v>
      </c>
      <c r="E79" s="103">
        <v>771</v>
      </c>
      <c r="F79" s="91">
        <f t="shared" si="8"/>
        <v>154.20000000000002</v>
      </c>
      <c r="G79" s="91">
        <f t="shared" si="9"/>
        <v>917.8571428571429</v>
      </c>
    </row>
    <row r="80" spans="1:7" ht="15" customHeight="1">
      <c r="A80" s="86" t="s">
        <v>1373</v>
      </c>
      <c r="B80" s="56" t="s">
        <v>1267</v>
      </c>
      <c r="C80" s="103">
        <v>82456.49</v>
      </c>
      <c r="D80" s="103">
        <v>106850</v>
      </c>
      <c r="E80" s="103">
        <f>107991.54-201.25</f>
        <v>107790.29</v>
      </c>
      <c r="F80" s="91">
        <f t="shared" si="8"/>
        <v>100.88000935891436</v>
      </c>
      <c r="G80" s="91">
        <f t="shared" si="9"/>
        <v>130.72383993061067</v>
      </c>
    </row>
    <row r="81" spans="1:7" ht="15" customHeight="1">
      <c r="A81" s="86" t="s">
        <v>1374</v>
      </c>
      <c r="B81" s="56" t="s">
        <v>1268</v>
      </c>
      <c r="C81" s="103">
        <v>116893.46</v>
      </c>
      <c r="D81" s="103">
        <v>5000</v>
      </c>
      <c r="E81" s="103">
        <v>2519.01</v>
      </c>
      <c r="F81" s="91">
        <f t="shared" si="8"/>
        <v>50.38020000000001</v>
      </c>
      <c r="G81" s="91">
        <f t="shared" si="9"/>
        <v>2.154962304991229</v>
      </c>
    </row>
    <row r="82" spans="1:7" ht="15" customHeight="1">
      <c r="A82" s="86">
        <v>3223</v>
      </c>
      <c r="B82" s="56" t="s">
        <v>1269</v>
      </c>
      <c r="C82" s="103">
        <v>300000</v>
      </c>
      <c r="D82" s="103">
        <v>250000</v>
      </c>
      <c r="E82" s="103">
        <f>428708.85-76853.43</f>
        <v>351855.42</v>
      </c>
      <c r="F82" s="91">
        <f t="shared" si="8"/>
        <v>140.742168</v>
      </c>
      <c r="G82" s="91">
        <f t="shared" si="9"/>
        <v>117.28513999999998</v>
      </c>
    </row>
    <row r="83" spans="1:7" ht="15" customHeight="1">
      <c r="A83" s="86">
        <v>3224</v>
      </c>
      <c r="B83" s="56" t="s">
        <v>1270</v>
      </c>
      <c r="C83" s="103">
        <v>19511.11</v>
      </c>
      <c r="D83" s="103">
        <v>25000</v>
      </c>
      <c r="E83" s="103">
        <v>21076.92</v>
      </c>
      <c r="F83" s="91">
        <f t="shared" si="8"/>
        <v>84.30767999999999</v>
      </c>
      <c r="G83" s="91">
        <f t="shared" si="9"/>
        <v>108.0252225526892</v>
      </c>
    </row>
    <row r="84" spans="1:7" ht="15" customHeight="1">
      <c r="A84" s="86">
        <v>3225</v>
      </c>
      <c r="B84" s="56" t="s">
        <v>1420</v>
      </c>
      <c r="C84" s="103">
        <v>11494.04</v>
      </c>
      <c r="D84" s="103">
        <v>17400</v>
      </c>
      <c r="E84" s="103">
        <v>17117.09</v>
      </c>
      <c r="F84" s="91">
        <f t="shared" si="8"/>
        <v>98.37408045977011</v>
      </c>
      <c r="G84" s="91">
        <f t="shared" si="9"/>
        <v>148.92144102508777</v>
      </c>
    </row>
    <row r="85" spans="1:7" ht="15" customHeight="1">
      <c r="A85" s="86">
        <v>3227</v>
      </c>
      <c r="B85" s="56" t="s">
        <v>1452</v>
      </c>
      <c r="C85" s="103">
        <v>3675.34</v>
      </c>
      <c r="D85" s="103">
        <v>5500</v>
      </c>
      <c r="E85" s="103">
        <v>5500</v>
      </c>
      <c r="F85" s="91">
        <f t="shared" si="8"/>
        <v>100</v>
      </c>
      <c r="G85" s="91">
        <f t="shared" si="9"/>
        <v>149.6460191438071</v>
      </c>
    </row>
    <row r="86" spans="1:7" ht="15" customHeight="1">
      <c r="A86" s="86" t="s">
        <v>1375</v>
      </c>
      <c r="B86" s="56" t="s">
        <v>1271</v>
      </c>
      <c r="C86" s="103">
        <v>36217.14</v>
      </c>
      <c r="D86" s="103">
        <v>100000</v>
      </c>
      <c r="E86" s="103">
        <f>94819.24-3095.79-1718.11</f>
        <v>90005.34000000001</v>
      </c>
      <c r="F86" s="91">
        <f t="shared" si="8"/>
        <v>90.00534000000002</v>
      </c>
      <c r="G86" s="91">
        <f t="shared" si="9"/>
        <v>248.51586845344502</v>
      </c>
    </row>
    <row r="87" spans="1:11" ht="15" customHeight="1">
      <c r="A87" s="86" t="s">
        <v>1376</v>
      </c>
      <c r="B87" s="56" t="s">
        <v>1272</v>
      </c>
      <c r="C87" s="103">
        <v>160279.63</v>
      </c>
      <c r="D87" s="103">
        <v>120000</v>
      </c>
      <c r="E87" s="103">
        <f>99533.28-2875-7024.04-922.5</f>
        <v>88711.74</v>
      </c>
      <c r="F87" s="91">
        <f t="shared" si="8"/>
        <v>73.92645</v>
      </c>
      <c r="G87" s="91">
        <f t="shared" si="9"/>
        <v>55.348106306459535</v>
      </c>
      <c r="K87" s="120"/>
    </row>
    <row r="88" spans="1:7" ht="15" customHeight="1">
      <c r="A88" s="86">
        <v>3233</v>
      </c>
      <c r="B88" s="56" t="s">
        <v>1423</v>
      </c>
      <c r="C88" s="103">
        <v>131904.6</v>
      </c>
      <c r="D88" s="103">
        <v>130000</v>
      </c>
      <c r="E88" s="103">
        <v>127664.26</v>
      </c>
      <c r="F88" s="91">
        <f t="shared" si="8"/>
        <v>98.20327692307693</v>
      </c>
      <c r="G88" s="91">
        <f t="shared" si="9"/>
        <v>96.78529785921036</v>
      </c>
    </row>
    <row r="89" spans="1:7" ht="15" customHeight="1">
      <c r="A89" s="86">
        <v>3234</v>
      </c>
      <c r="B89" s="56" t="s">
        <v>1274</v>
      </c>
      <c r="C89" s="103">
        <v>46178.43</v>
      </c>
      <c r="D89" s="103">
        <v>63510</v>
      </c>
      <c r="E89" s="103">
        <v>56954.57</v>
      </c>
      <c r="F89" s="91">
        <f t="shared" si="8"/>
        <v>89.67811368288459</v>
      </c>
      <c r="G89" s="91">
        <f t="shared" si="9"/>
        <v>123.33587348032404</v>
      </c>
    </row>
    <row r="90" spans="1:7" ht="15" customHeight="1">
      <c r="A90" s="86">
        <v>3235</v>
      </c>
      <c r="B90" s="56" t="s">
        <v>1275</v>
      </c>
      <c r="C90" s="103">
        <v>99055.24</v>
      </c>
      <c r="D90" s="103">
        <v>80000</v>
      </c>
      <c r="E90" s="103">
        <v>64291.85</v>
      </c>
      <c r="F90" s="91">
        <f t="shared" si="8"/>
        <v>80.3648125</v>
      </c>
      <c r="G90" s="91">
        <f t="shared" si="9"/>
        <v>64.9050469212936</v>
      </c>
    </row>
    <row r="91" spans="1:7" ht="15" customHeight="1">
      <c r="A91" s="86">
        <v>3236</v>
      </c>
      <c r="B91" s="56" t="s">
        <v>1276</v>
      </c>
      <c r="C91" s="103">
        <v>6208.5</v>
      </c>
      <c r="D91" s="103"/>
      <c r="E91" s="103">
        <v>3790</v>
      </c>
      <c r="F91" s="91"/>
      <c r="G91" s="91">
        <f t="shared" si="9"/>
        <v>61.0453410646694</v>
      </c>
    </row>
    <row r="92" spans="1:7" ht="15" customHeight="1">
      <c r="A92" s="86" t="s">
        <v>1372</v>
      </c>
      <c r="B92" s="56" t="s">
        <v>1277</v>
      </c>
      <c r="C92" s="103">
        <v>221294.51</v>
      </c>
      <c r="D92" s="103">
        <v>230000</v>
      </c>
      <c r="E92" s="103">
        <f>217106.51-1535.47</f>
        <v>215571.04</v>
      </c>
      <c r="F92" s="91">
        <f t="shared" si="8"/>
        <v>93.72653913043479</v>
      </c>
      <c r="G92" s="91">
        <f t="shared" si="9"/>
        <v>97.41364121504867</v>
      </c>
    </row>
    <row r="93" spans="1:7" ht="15" customHeight="1">
      <c r="A93" s="86" t="s">
        <v>1377</v>
      </c>
      <c r="B93" s="56" t="s">
        <v>1278</v>
      </c>
      <c r="C93" s="103">
        <v>19414.43</v>
      </c>
      <c r="D93" s="103">
        <v>15000</v>
      </c>
      <c r="E93" s="103">
        <v>10865.8</v>
      </c>
      <c r="F93" s="91">
        <f t="shared" si="8"/>
        <v>72.43866666666666</v>
      </c>
      <c r="G93" s="91">
        <f t="shared" si="9"/>
        <v>55.967648805553395</v>
      </c>
    </row>
    <row r="94" spans="1:7" ht="15" customHeight="1">
      <c r="A94" s="86" t="s">
        <v>1378</v>
      </c>
      <c r="B94" s="56" t="s">
        <v>1279</v>
      </c>
      <c r="C94" s="103">
        <v>98981.72</v>
      </c>
      <c r="D94" s="103">
        <v>150000</v>
      </c>
      <c r="E94" s="103">
        <f>155584.68-8699.59</f>
        <v>146885.09</v>
      </c>
      <c r="F94" s="91">
        <f t="shared" si="8"/>
        <v>97.92339333333334</v>
      </c>
      <c r="G94" s="91">
        <f t="shared" si="9"/>
        <v>148.3961786075247</v>
      </c>
    </row>
    <row r="95" spans="1:7" ht="15" customHeight="1">
      <c r="A95" s="86">
        <v>3241</v>
      </c>
      <c r="B95" s="56" t="s">
        <v>1444</v>
      </c>
      <c r="C95" s="103">
        <v>5986.3</v>
      </c>
      <c r="D95" s="103">
        <v>11000</v>
      </c>
      <c r="E95" s="103">
        <v>10959.42</v>
      </c>
      <c r="F95" s="91">
        <f t="shared" si="8"/>
        <v>99.63109090909091</v>
      </c>
      <c r="G95" s="91">
        <f t="shared" si="9"/>
        <v>183.07502129863187</v>
      </c>
    </row>
    <row r="96" spans="1:7" ht="15" customHeight="1">
      <c r="A96" s="86">
        <v>3292</v>
      </c>
      <c r="B96" s="56" t="s">
        <v>1280</v>
      </c>
      <c r="C96" s="103">
        <v>80009.88</v>
      </c>
      <c r="D96" s="103">
        <v>78300</v>
      </c>
      <c r="E96" s="103">
        <v>76266.19</v>
      </c>
      <c r="F96" s="91">
        <f t="shared" si="8"/>
        <v>97.40254150702427</v>
      </c>
      <c r="G96" s="91">
        <f t="shared" si="9"/>
        <v>95.32096536077795</v>
      </c>
    </row>
    <row r="97" spans="1:7" ht="15" customHeight="1">
      <c r="A97" s="86" t="s">
        <v>1379</v>
      </c>
      <c r="B97" s="56" t="s">
        <v>1289</v>
      </c>
      <c r="C97" s="103">
        <v>1006.06</v>
      </c>
      <c r="D97" s="103">
        <v>55000</v>
      </c>
      <c r="E97" s="103">
        <f>58813.89-103.01</f>
        <v>58710.88</v>
      </c>
      <c r="F97" s="91">
        <f t="shared" si="8"/>
        <v>106.74705454545455</v>
      </c>
      <c r="G97" s="91">
        <f t="shared" si="9"/>
        <v>5835.723515496094</v>
      </c>
    </row>
    <row r="98" spans="1:7" ht="15" customHeight="1">
      <c r="A98" s="86">
        <v>3294</v>
      </c>
      <c r="B98" s="56" t="s">
        <v>1281</v>
      </c>
      <c r="C98" s="103">
        <v>20606.08</v>
      </c>
      <c r="D98" s="103">
        <v>26100</v>
      </c>
      <c r="E98" s="103">
        <v>24953.04</v>
      </c>
      <c r="F98" s="91">
        <f t="shared" si="8"/>
        <v>95.60551724137932</v>
      </c>
      <c r="G98" s="91">
        <f t="shared" si="9"/>
        <v>121.09552132186228</v>
      </c>
    </row>
    <row r="99" spans="1:7" ht="15" customHeight="1">
      <c r="A99" s="86" t="s">
        <v>1380</v>
      </c>
      <c r="B99" s="56" t="s">
        <v>1282</v>
      </c>
      <c r="C99" s="103">
        <v>2550</v>
      </c>
      <c r="D99" s="103">
        <v>10400</v>
      </c>
      <c r="E99" s="103">
        <v>10225</v>
      </c>
      <c r="F99" s="91">
        <f t="shared" si="8"/>
        <v>98.3173076923077</v>
      </c>
      <c r="G99" s="91">
        <f t="shared" si="9"/>
        <v>400.98039215686276</v>
      </c>
    </row>
    <row r="100" spans="1:7" ht="15" customHeight="1">
      <c r="A100" s="86" t="s">
        <v>1381</v>
      </c>
      <c r="B100" s="56" t="s">
        <v>1283</v>
      </c>
      <c r="C100" s="103">
        <v>107082.16</v>
      </c>
      <c r="D100" s="103">
        <v>90000</v>
      </c>
      <c r="E100" s="103">
        <v>122361.09</v>
      </c>
      <c r="F100" s="91">
        <f t="shared" si="8"/>
        <v>135.95676666666668</v>
      </c>
      <c r="G100" s="91">
        <f t="shared" si="9"/>
        <v>114.26841782048476</v>
      </c>
    </row>
    <row r="101" spans="1:7" ht="15" customHeight="1">
      <c r="A101" s="86" t="s">
        <v>1382</v>
      </c>
      <c r="B101" s="56" t="s">
        <v>1284</v>
      </c>
      <c r="C101" s="103">
        <v>5823.39</v>
      </c>
      <c r="D101" s="103">
        <v>8400</v>
      </c>
      <c r="E101" s="103">
        <v>8365.41</v>
      </c>
      <c r="F101" s="91">
        <f t="shared" si="8"/>
        <v>99.58821428571429</v>
      </c>
      <c r="G101" s="91">
        <f t="shared" si="9"/>
        <v>143.6518934847228</v>
      </c>
    </row>
    <row r="102" spans="1:7" ht="15" customHeight="1">
      <c r="A102" s="86">
        <v>3432</v>
      </c>
      <c r="B102" s="56" t="s">
        <v>1290</v>
      </c>
      <c r="C102" s="103">
        <v>5524.79</v>
      </c>
      <c r="D102" s="103">
        <v>7500</v>
      </c>
      <c r="E102" s="103">
        <v>7754.51</v>
      </c>
      <c r="F102" s="91">
        <f t="shared" si="8"/>
        <v>103.39346666666667</v>
      </c>
      <c r="G102" s="91">
        <f t="shared" si="9"/>
        <v>140.3584570635264</v>
      </c>
    </row>
    <row r="103" spans="1:7" ht="15" customHeight="1">
      <c r="A103" s="86">
        <v>3433</v>
      </c>
      <c r="B103" s="49" t="s">
        <v>1364</v>
      </c>
      <c r="C103" s="103">
        <v>82.56</v>
      </c>
      <c r="D103" s="103">
        <v>40</v>
      </c>
      <c r="E103" s="103">
        <v>240.39</v>
      </c>
      <c r="F103" s="91">
        <f t="shared" si="8"/>
        <v>600.9749999999999</v>
      </c>
      <c r="G103" s="91">
        <f t="shared" si="9"/>
        <v>291.17005813953483</v>
      </c>
    </row>
    <row r="104" spans="1:7" ht="15" customHeight="1">
      <c r="A104" s="86" t="s">
        <v>1383</v>
      </c>
      <c r="B104" s="56" t="s">
        <v>1291</v>
      </c>
      <c r="C104" s="103">
        <v>74078.73</v>
      </c>
      <c r="D104" s="103">
        <v>72190</v>
      </c>
      <c r="E104" s="103">
        <v>77475.25</v>
      </c>
      <c r="F104" s="91">
        <f t="shared" si="8"/>
        <v>107.32130488987394</v>
      </c>
      <c r="G104" s="91">
        <f t="shared" si="9"/>
        <v>104.58501380895704</v>
      </c>
    </row>
    <row r="105" spans="1:7" ht="15" customHeight="1">
      <c r="A105" s="86">
        <v>3721</v>
      </c>
      <c r="B105" s="56" t="s">
        <v>1438</v>
      </c>
      <c r="C105" s="103">
        <v>15000</v>
      </c>
      <c r="D105" s="103">
        <v>40000</v>
      </c>
      <c r="E105" s="103">
        <v>40000</v>
      </c>
      <c r="F105" s="91">
        <f t="shared" si="8"/>
        <v>100</v>
      </c>
      <c r="G105" s="91">
        <f t="shared" si="9"/>
        <v>266.66666666666663</v>
      </c>
    </row>
    <row r="106" spans="1:7" ht="15" customHeight="1">
      <c r="A106" s="86">
        <v>3811</v>
      </c>
      <c r="B106" s="56" t="s">
        <v>1293</v>
      </c>
      <c r="C106" s="103">
        <v>7500</v>
      </c>
      <c r="D106" s="103">
        <v>9500</v>
      </c>
      <c r="E106" s="103">
        <v>9500</v>
      </c>
      <c r="F106" s="91">
        <f t="shared" si="8"/>
        <v>100</v>
      </c>
      <c r="G106" s="91">
        <f t="shared" si="9"/>
        <v>126.66666666666666</v>
      </c>
    </row>
    <row r="107" spans="1:7" ht="15" customHeight="1">
      <c r="A107" s="86">
        <v>3812</v>
      </c>
      <c r="B107" s="56" t="s">
        <v>1457</v>
      </c>
      <c r="C107" s="103">
        <v>7370</v>
      </c>
      <c r="D107" s="103"/>
      <c r="E107" s="103"/>
      <c r="F107" s="91"/>
      <c r="G107" s="91"/>
    </row>
    <row r="108" spans="1:7" ht="15" customHeight="1">
      <c r="A108" s="86">
        <v>4123</v>
      </c>
      <c r="B108" s="56" t="s">
        <v>1434</v>
      </c>
      <c r="C108" s="103">
        <v>146623.39</v>
      </c>
      <c r="D108" s="103"/>
      <c r="E108" s="103"/>
      <c r="F108" s="91"/>
      <c r="G108" s="91"/>
    </row>
    <row r="109" spans="1:7" ht="15" customHeight="1">
      <c r="A109" s="86" t="s">
        <v>1384</v>
      </c>
      <c r="B109" s="56" t="s">
        <v>1285</v>
      </c>
      <c r="C109" s="103">
        <v>134620.09</v>
      </c>
      <c r="D109" s="103">
        <v>175000</v>
      </c>
      <c r="E109" s="103">
        <v>173042.48</v>
      </c>
      <c r="F109" s="91">
        <f t="shared" si="8"/>
        <v>98.88141714285716</v>
      </c>
      <c r="G109" s="91">
        <f t="shared" si="9"/>
        <v>128.54134921466775</v>
      </c>
    </row>
    <row r="110" spans="1:7" ht="15" customHeight="1">
      <c r="A110" s="86">
        <v>4224</v>
      </c>
      <c r="B110" s="56" t="s">
        <v>1440</v>
      </c>
      <c r="C110" s="103">
        <v>70608.86</v>
      </c>
      <c r="D110" s="103"/>
      <c r="E110" s="103"/>
      <c r="F110" s="91"/>
      <c r="G110" s="91"/>
    </row>
    <row r="111" spans="1:7" ht="15" customHeight="1">
      <c r="A111" s="86">
        <v>4225</v>
      </c>
      <c r="B111" s="56" t="s">
        <v>1294</v>
      </c>
      <c r="C111" s="103">
        <v>221564.89</v>
      </c>
      <c r="D111" s="103"/>
      <c r="E111" s="103"/>
      <c r="F111" s="91"/>
      <c r="G111" s="91"/>
    </row>
    <row r="112" spans="1:7" ht="15" customHeight="1">
      <c r="A112" s="86">
        <v>4241</v>
      </c>
      <c r="B112" s="56" t="s">
        <v>1435</v>
      </c>
      <c r="C112" s="103">
        <v>35019.01</v>
      </c>
      <c r="D112" s="103">
        <v>20000</v>
      </c>
      <c r="E112" s="103">
        <v>26313.06</v>
      </c>
      <c r="F112" s="91">
        <f t="shared" si="8"/>
        <v>131.5653</v>
      </c>
      <c r="G112" s="91">
        <f t="shared" si="9"/>
        <v>75.13936002188527</v>
      </c>
    </row>
    <row r="113" spans="1:7" ht="15" customHeight="1">
      <c r="A113" s="51"/>
      <c r="B113" s="51" t="s">
        <v>1263</v>
      </c>
      <c r="C113" s="119">
        <f>SUM(C114:C148)</f>
        <v>1559386.8399999999</v>
      </c>
      <c r="D113" s="119">
        <f>SUM(D114:D148)</f>
        <v>1597880</v>
      </c>
      <c r="E113" s="119">
        <f>SUM(E114:E148)</f>
        <v>1422104.7699999996</v>
      </c>
      <c r="F113" s="88">
        <f>E113/D113*100</f>
        <v>88.99947242596437</v>
      </c>
      <c r="G113" s="88">
        <f aca="true" t="shared" si="10" ref="G113:G139">E113/C113*100</f>
        <v>91.19640704419434</v>
      </c>
    </row>
    <row r="114" spans="1:7" ht="15" customHeight="1">
      <c r="A114" s="86" t="s">
        <v>1369</v>
      </c>
      <c r="B114" s="56" t="s">
        <v>1353</v>
      </c>
      <c r="C114" s="103">
        <v>342991.86</v>
      </c>
      <c r="D114" s="103">
        <v>270000</v>
      </c>
      <c r="E114" s="103">
        <v>279242.95</v>
      </c>
      <c r="F114" s="91">
        <f>E114/D114*100</f>
        <v>103.42331481481482</v>
      </c>
      <c r="G114" s="91">
        <f t="shared" si="10"/>
        <v>81.4138708714545</v>
      </c>
    </row>
    <row r="115" spans="1:10" ht="15" customHeight="1">
      <c r="A115" s="86">
        <v>3121</v>
      </c>
      <c r="B115" s="56" t="s">
        <v>1288</v>
      </c>
      <c r="C115" s="103">
        <v>38526.3</v>
      </c>
      <c r="D115" s="103">
        <v>36000</v>
      </c>
      <c r="E115" s="103">
        <v>36007.23</v>
      </c>
      <c r="F115" s="91">
        <f aca="true" t="shared" si="11" ref="F115:F148">E115/D115*100</f>
        <v>100.02008333333335</v>
      </c>
      <c r="G115" s="91">
        <f t="shared" si="10"/>
        <v>93.46142764812609</v>
      </c>
      <c r="J115" s="109"/>
    </row>
    <row r="116" spans="1:7" ht="15" customHeight="1">
      <c r="A116" s="86" t="s">
        <v>1370</v>
      </c>
      <c r="B116" s="56" t="s">
        <v>1324</v>
      </c>
      <c r="C116" s="103">
        <v>55414.17</v>
      </c>
      <c r="D116" s="103">
        <v>46440</v>
      </c>
      <c r="E116" s="103">
        <v>46924.78</v>
      </c>
      <c r="F116" s="91">
        <f t="shared" si="11"/>
        <v>101.04388458225668</v>
      </c>
      <c r="G116" s="91">
        <f t="shared" si="10"/>
        <v>84.68010979863094</v>
      </c>
    </row>
    <row r="117" spans="1:7" ht="15" customHeight="1">
      <c r="A117" s="86" t="s">
        <v>1385</v>
      </c>
      <c r="B117" s="56" t="s">
        <v>1264</v>
      </c>
      <c r="C117" s="103">
        <v>75499.33</v>
      </c>
      <c r="D117" s="103">
        <v>110000</v>
      </c>
      <c r="E117" s="103">
        <v>96199.43</v>
      </c>
      <c r="F117" s="91">
        <f t="shared" si="11"/>
        <v>87.45402727272726</v>
      </c>
      <c r="G117" s="91">
        <f t="shared" si="10"/>
        <v>127.41759430183022</v>
      </c>
    </row>
    <row r="118" spans="1:7" ht="15" customHeight="1">
      <c r="A118" s="86">
        <v>3212</v>
      </c>
      <c r="B118" s="56" t="s">
        <v>1265</v>
      </c>
      <c r="C118" s="103">
        <v>11995.23</v>
      </c>
      <c r="D118" s="103">
        <v>2000</v>
      </c>
      <c r="E118" s="103">
        <v>1406.01</v>
      </c>
      <c r="F118" s="91">
        <f t="shared" si="11"/>
        <v>70.3005</v>
      </c>
      <c r="G118" s="91">
        <f t="shared" si="10"/>
        <v>11.721409260180922</v>
      </c>
    </row>
    <row r="119" spans="1:7" ht="15" customHeight="1">
      <c r="A119" s="86">
        <v>3213</v>
      </c>
      <c r="B119" s="56" t="s">
        <v>1266</v>
      </c>
      <c r="C119" s="103">
        <v>5600.83</v>
      </c>
      <c r="D119" s="103">
        <v>6000</v>
      </c>
      <c r="E119" s="103">
        <v>7751.58</v>
      </c>
      <c r="F119" s="91">
        <f t="shared" si="11"/>
        <v>129.193</v>
      </c>
      <c r="G119" s="91">
        <f t="shared" si="10"/>
        <v>138.4005584886526</v>
      </c>
    </row>
    <row r="120" spans="1:7" ht="15" customHeight="1">
      <c r="A120" s="86">
        <v>3214</v>
      </c>
      <c r="B120" s="56" t="s">
        <v>1395</v>
      </c>
      <c r="C120" s="103">
        <v>6696</v>
      </c>
      <c r="D120" s="103">
        <v>2000</v>
      </c>
      <c r="E120" s="103">
        <v>1620</v>
      </c>
      <c r="F120" s="91">
        <f t="shared" si="11"/>
        <v>81</v>
      </c>
      <c r="G120" s="91">
        <f t="shared" si="10"/>
        <v>24.193548387096776</v>
      </c>
    </row>
    <row r="121" spans="1:7" ht="15" customHeight="1">
      <c r="A121" s="86" t="s">
        <v>1373</v>
      </c>
      <c r="B121" s="56" t="s">
        <v>1267</v>
      </c>
      <c r="C121" s="103">
        <v>144.48</v>
      </c>
      <c r="D121" s="103">
        <v>4000</v>
      </c>
      <c r="E121" s="103">
        <v>3650.9</v>
      </c>
      <c r="F121" s="91">
        <f t="shared" si="11"/>
        <v>91.27250000000001</v>
      </c>
      <c r="G121" s="91">
        <f t="shared" si="10"/>
        <v>2526.9241417497233</v>
      </c>
    </row>
    <row r="122" spans="1:7" ht="15" customHeight="1">
      <c r="A122" s="86">
        <v>3222</v>
      </c>
      <c r="B122" s="56" t="s">
        <v>1268</v>
      </c>
      <c r="C122" s="103">
        <v>38663.07</v>
      </c>
      <c r="D122" s="103">
        <v>12000</v>
      </c>
      <c r="E122" s="103">
        <v>8381.07</v>
      </c>
      <c r="F122" s="91">
        <f t="shared" si="11"/>
        <v>69.84224999999999</v>
      </c>
      <c r="G122" s="91">
        <f t="shared" si="10"/>
        <v>21.677197387584584</v>
      </c>
    </row>
    <row r="123" spans="1:7" ht="15" customHeight="1">
      <c r="A123" s="86">
        <v>3223</v>
      </c>
      <c r="B123" s="56" t="s">
        <v>1269</v>
      </c>
      <c r="C123" s="103">
        <v>1510.53</v>
      </c>
      <c r="D123" s="103">
        <v>10000</v>
      </c>
      <c r="E123" s="103">
        <v>9973.54</v>
      </c>
      <c r="F123" s="91">
        <f t="shared" si="11"/>
        <v>99.73540000000001</v>
      </c>
      <c r="G123" s="91">
        <f t="shared" si="10"/>
        <v>660.2675881975201</v>
      </c>
    </row>
    <row r="124" spans="1:7" ht="15" customHeight="1">
      <c r="A124" s="86">
        <v>3224</v>
      </c>
      <c r="B124" s="56" t="s">
        <v>1270</v>
      </c>
      <c r="C124" s="103">
        <v>8081.27</v>
      </c>
      <c r="D124" s="103">
        <v>15000</v>
      </c>
      <c r="E124" s="103">
        <v>12734.4</v>
      </c>
      <c r="F124" s="91">
        <f t="shared" si="11"/>
        <v>84.89599999999999</v>
      </c>
      <c r="G124" s="91">
        <f t="shared" si="10"/>
        <v>157.5791923794156</v>
      </c>
    </row>
    <row r="125" spans="1:7" ht="15" customHeight="1">
      <c r="A125" s="86">
        <v>3225</v>
      </c>
      <c r="B125" s="56" t="s">
        <v>1420</v>
      </c>
      <c r="C125" s="103">
        <v>9846.85</v>
      </c>
      <c r="D125" s="103">
        <v>12700</v>
      </c>
      <c r="E125" s="103">
        <v>9298.38</v>
      </c>
      <c r="F125" s="91">
        <f t="shared" si="11"/>
        <v>73.2155905511811</v>
      </c>
      <c r="G125" s="91">
        <f t="shared" si="10"/>
        <v>94.42999537923295</v>
      </c>
    </row>
    <row r="126" spans="1:7" ht="15" customHeight="1">
      <c r="A126" s="86">
        <v>3227</v>
      </c>
      <c r="B126" s="56" t="s">
        <v>1437</v>
      </c>
      <c r="C126" s="103">
        <v>16678.73</v>
      </c>
      <c r="D126" s="103">
        <v>1200</v>
      </c>
      <c r="E126" s="103">
        <v>1124.25</v>
      </c>
      <c r="F126" s="91">
        <f t="shared" si="11"/>
        <v>93.6875</v>
      </c>
      <c r="G126" s="91">
        <f t="shared" si="10"/>
        <v>6.740621138420012</v>
      </c>
    </row>
    <row r="127" spans="1:7" ht="15" customHeight="1">
      <c r="A127" s="86">
        <v>3231</v>
      </c>
      <c r="B127" s="56" t="s">
        <v>1271</v>
      </c>
      <c r="C127" s="103">
        <v>11315</v>
      </c>
      <c r="D127" s="103">
        <v>12000</v>
      </c>
      <c r="E127" s="103">
        <f>10867.51-182.75</f>
        <v>10684.76</v>
      </c>
      <c r="F127" s="91">
        <f t="shared" si="11"/>
        <v>89.03966666666668</v>
      </c>
      <c r="G127" s="91">
        <f t="shared" si="10"/>
        <v>94.43004860804243</v>
      </c>
    </row>
    <row r="128" spans="1:7" ht="15" customHeight="1">
      <c r="A128" s="86">
        <v>3232</v>
      </c>
      <c r="B128" s="56" t="s">
        <v>1439</v>
      </c>
      <c r="C128" s="103">
        <v>96158.4</v>
      </c>
      <c r="D128" s="103">
        <v>10000</v>
      </c>
      <c r="E128" s="103">
        <v>6350.29</v>
      </c>
      <c r="F128" s="91">
        <f t="shared" si="11"/>
        <v>63.5029</v>
      </c>
      <c r="G128" s="91">
        <f t="shared" si="10"/>
        <v>6.60398883508877</v>
      </c>
    </row>
    <row r="129" spans="1:7" ht="15" customHeight="1">
      <c r="A129" s="86">
        <v>3233</v>
      </c>
      <c r="B129" s="56" t="s">
        <v>1423</v>
      </c>
      <c r="C129" s="103">
        <v>20792.33</v>
      </c>
      <c r="D129" s="103">
        <v>22500</v>
      </c>
      <c r="E129" s="103">
        <v>22535.61</v>
      </c>
      <c r="F129" s="91">
        <f t="shared" si="11"/>
        <v>100.15826666666668</v>
      </c>
      <c r="G129" s="91">
        <f t="shared" si="10"/>
        <v>108.3842455366955</v>
      </c>
    </row>
    <row r="130" spans="1:7" ht="15" customHeight="1">
      <c r="A130" s="86">
        <v>3235</v>
      </c>
      <c r="B130" s="56" t="s">
        <v>1275</v>
      </c>
      <c r="C130" s="103">
        <v>1870.22</v>
      </c>
      <c r="D130" s="103">
        <v>5600</v>
      </c>
      <c r="E130" s="103">
        <v>5966.45</v>
      </c>
      <c r="F130" s="91">
        <f t="shared" si="11"/>
        <v>106.54375</v>
      </c>
      <c r="G130" s="91">
        <f t="shared" si="10"/>
        <v>319.02396509501557</v>
      </c>
    </row>
    <row r="131" spans="1:7" ht="15" customHeight="1">
      <c r="A131" s="86" t="s">
        <v>1372</v>
      </c>
      <c r="B131" s="56" t="s">
        <v>1277</v>
      </c>
      <c r="C131" s="103">
        <v>475878.09</v>
      </c>
      <c r="D131" s="103">
        <v>550000</v>
      </c>
      <c r="E131" s="103">
        <v>473110.1</v>
      </c>
      <c r="F131" s="91">
        <f t="shared" si="11"/>
        <v>86.02001818181819</v>
      </c>
      <c r="G131" s="91">
        <f t="shared" si="10"/>
        <v>99.41834052498612</v>
      </c>
    </row>
    <row r="132" spans="1:7" ht="15" customHeight="1">
      <c r="A132" s="86">
        <v>3239</v>
      </c>
      <c r="B132" s="56" t="s">
        <v>1279</v>
      </c>
      <c r="C132" s="103">
        <v>136140.9</v>
      </c>
      <c r="D132" s="103">
        <v>168375</v>
      </c>
      <c r="E132" s="103">
        <f>151697.38-9207.46</f>
        <v>142489.92</v>
      </c>
      <c r="F132" s="91">
        <f t="shared" si="11"/>
        <v>84.62653006681515</v>
      </c>
      <c r="G132" s="91">
        <f t="shared" si="10"/>
        <v>104.66356546783517</v>
      </c>
    </row>
    <row r="133" spans="1:7" ht="15" customHeight="1">
      <c r="A133" s="86">
        <v>3241</v>
      </c>
      <c r="B133" s="56" t="s">
        <v>1321</v>
      </c>
      <c r="C133" s="103">
        <v>3940</v>
      </c>
      <c r="D133" s="103">
        <v>7100</v>
      </c>
      <c r="E133" s="103">
        <v>7065.16</v>
      </c>
      <c r="F133" s="91">
        <f t="shared" si="11"/>
        <v>99.50929577464788</v>
      </c>
      <c r="G133" s="91">
        <f t="shared" si="10"/>
        <v>179.31878172588833</v>
      </c>
    </row>
    <row r="134" spans="1:7" ht="15" customHeight="1">
      <c r="A134" s="86">
        <v>3292</v>
      </c>
      <c r="B134" s="56" t="s">
        <v>1280</v>
      </c>
      <c r="C134" s="103">
        <v>29637.68</v>
      </c>
      <c r="D134" s="103">
        <v>30000</v>
      </c>
      <c r="E134" s="103">
        <v>28264.39</v>
      </c>
      <c r="F134" s="91">
        <f t="shared" si="11"/>
        <v>94.21463333333332</v>
      </c>
      <c r="G134" s="91">
        <f t="shared" si="10"/>
        <v>95.36640519770778</v>
      </c>
    </row>
    <row r="135" spans="1:7" ht="15" customHeight="1">
      <c r="A135" s="86" t="s">
        <v>1379</v>
      </c>
      <c r="B135" s="56" t="s">
        <v>1289</v>
      </c>
      <c r="C135" s="103">
        <v>7419.5</v>
      </c>
      <c r="D135" s="103">
        <v>20000</v>
      </c>
      <c r="E135" s="103">
        <f>16038-2950</f>
        <v>13088</v>
      </c>
      <c r="F135" s="91">
        <f t="shared" si="11"/>
        <v>65.44</v>
      </c>
      <c r="G135" s="91">
        <f t="shared" si="10"/>
        <v>176.40002695599435</v>
      </c>
    </row>
    <row r="136" spans="1:7" ht="15" customHeight="1">
      <c r="A136" s="86">
        <v>3294</v>
      </c>
      <c r="B136" s="56" t="s">
        <v>1441</v>
      </c>
      <c r="C136" s="103">
        <v>11788</v>
      </c>
      <c r="D136" s="103">
        <v>11500</v>
      </c>
      <c r="E136" s="103">
        <v>11500</v>
      </c>
      <c r="F136" s="91">
        <f t="shared" si="11"/>
        <v>100</v>
      </c>
      <c r="G136" s="91">
        <f t="shared" si="10"/>
        <v>97.55683746182558</v>
      </c>
    </row>
    <row r="137" spans="1:7" ht="15" customHeight="1">
      <c r="A137" s="86">
        <v>3299</v>
      </c>
      <c r="B137" s="56" t="s">
        <v>1283</v>
      </c>
      <c r="C137" s="103">
        <v>699.95</v>
      </c>
      <c r="D137" s="103">
        <v>62825</v>
      </c>
      <c r="E137" s="103">
        <v>36367.77</v>
      </c>
      <c r="F137" s="91">
        <f t="shared" si="11"/>
        <v>57.88741742936728</v>
      </c>
      <c r="G137" s="91">
        <f t="shared" si="10"/>
        <v>5195.766840488605</v>
      </c>
    </row>
    <row r="138" spans="1:7" ht="15" customHeight="1">
      <c r="A138" s="86" t="s">
        <v>1382</v>
      </c>
      <c r="B138" s="56" t="s">
        <v>1284</v>
      </c>
      <c r="C138" s="103">
        <v>3000</v>
      </c>
      <c r="D138" s="103">
        <v>0</v>
      </c>
      <c r="E138" s="103">
        <v>0</v>
      </c>
      <c r="F138" s="91" t="e">
        <f t="shared" si="11"/>
        <v>#DIV/0!</v>
      </c>
      <c r="G138" s="91">
        <f t="shared" si="10"/>
        <v>0</v>
      </c>
    </row>
    <row r="139" spans="1:7" ht="15" customHeight="1">
      <c r="A139" s="86">
        <v>3432</v>
      </c>
      <c r="B139" s="56" t="s">
        <v>1290</v>
      </c>
      <c r="C139" s="103">
        <v>911.16</v>
      </c>
      <c r="D139" s="103">
        <v>200</v>
      </c>
      <c r="E139" s="103">
        <v>256.71</v>
      </c>
      <c r="F139" s="91">
        <f t="shared" si="11"/>
        <v>128.355</v>
      </c>
      <c r="G139" s="91">
        <f t="shared" si="10"/>
        <v>28.17397603055446</v>
      </c>
    </row>
    <row r="140" spans="1:7" ht="15" customHeight="1">
      <c r="A140" s="86">
        <v>3433</v>
      </c>
      <c r="B140" s="56" t="s">
        <v>1364</v>
      </c>
      <c r="C140" s="103">
        <v>0.12</v>
      </c>
      <c r="D140" s="103"/>
      <c r="E140" s="103"/>
      <c r="F140" s="91"/>
      <c r="G140" s="91"/>
    </row>
    <row r="141" spans="1:7" ht="15" customHeight="1">
      <c r="A141" s="86" t="s">
        <v>1383</v>
      </c>
      <c r="B141" s="56" t="s">
        <v>1291</v>
      </c>
      <c r="C141" s="103">
        <v>27369.75</v>
      </c>
      <c r="D141" s="103">
        <v>27220</v>
      </c>
      <c r="E141" s="103">
        <v>39258.05</v>
      </c>
      <c r="F141" s="91">
        <f t="shared" si="11"/>
        <v>144.22501836884643</v>
      </c>
      <c r="G141" s="91">
        <f>E141/C141*100</f>
        <v>143.43591008321232</v>
      </c>
    </row>
    <row r="142" spans="1:7" ht="15" customHeight="1">
      <c r="A142" s="86">
        <v>3721</v>
      </c>
      <c r="B142" s="56" t="s">
        <v>1438</v>
      </c>
      <c r="C142" s="103">
        <v>37500</v>
      </c>
      <c r="D142" s="103">
        <v>40300</v>
      </c>
      <c r="E142" s="103">
        <v>40300</v>
      </c>
      <c r="F142" s="91">
        <f t="shared" si="11"/>
        <v>100</v>
      </c>
      <c r="G142" s="91"/>
    </row>
    <row r="143" spans="1:7" ht="15" customHeight="1">
      <c r="A143" s="86">
        <v>4123</v>
      </c>
      <c r="B143" s="56" t="s">
        <v>1434</v>
      </c>
      <c r="C143" s="103">
        <v>9375</v>
      </c>
      <c r="D143" s="103">
        <v>34600</v>
      </c>
      <c r="E143" s="103">
        <v>20393.67</v>
      </c>
      <c r="F143" s="91">
        <f t="shared" si="11"/>
        <v>58.94124277456647</v>
      </c>
      <c r="G143" s="91"/>
    </row>
    <row r="144" spans="1:7" ht="15" customHeight="1">
      <c r="A144" s="86">
        <v>4221</v>
      </c>
      <c r="B144" s="56" t="s">
        <v>1285</v>
      </c>
      <c r="C144" s="103">
        <v>58347.09</v>
      </c>
      <c r="D144" s="103">
        <v>20500</v>
      </c>
      <c r="E144" s="103">
        <v>20344.88</v>
      </c>
      <c r="F144" s="91">
        <f t="shared" si="11"/>
        <v>99.24331707317073</v>
      </c>
      <c r="G144" s="91">
        <f>E144/C144*100</f>
        <v>34.86871410382249</v>
      </c>
    </row>
    <row r="145" spans="1:7" ht="15" customHeight="1">
      <c r="A145" s="86">
        <v>4222</v>
      </c>
      <c r="B145" s="56" t="s">
        <v>1292</v>
      </c>
      <c r="C145" s="103">
        <v>0</v>
      </c>
      <c r="D145" s="103">
        <v>22650</v>
      </c>
      <c r="E145" s="103">
        <v>22650</v>
      </c>
      <c r="F145" s="91">
        <f t="shared" si="11"/>
        <v>100</v>
      </c>
      <c r="G145" s="91" t="e">
        <f>E145/C145*100</f>
        <v>#DIV/0!</v>
      </c>
    </row>
    <row r="146" spans="1:7" ht="15" customHeight="1">
      <c r="A146" s="86">
        <v>4224</v>
      </c>
      <c r="B146" s="56" t="s">
        <v>1440</v>
      </c>
      <c r="C146" s="103"/>
      <c r="D146" s="103">
        <v>17670</v>
      </c>
      <c r="E146" s="103"/>
      <c r="F146" s="91"/>
      <c r="G146" s="91"/>
    </row>
    <row r="147" spans="1:7" ht="15" customHeight="1">
      <c r="A147" s="86">
        <v>4225</v>
      </c>
      <c r="B147" s="56" t="s">
        <v>1294</v>
      </c>
      <c r="C147" s="103">
        <v>14845</v>
      </c>
      <c r="D147" s="103">
        <v>5500</v>
      </c>
      <c r="E147" s="103">
        <v>5303.64</v>
      </c>
      <c r="F147" s="91"/>
      <c r="G147" s="91"/>
    </row>
    <row r="148" spans="1:7" ht="15" customHeight="1">
      <c r="A148" s="86">
        <v>4241</v>
      </c>
      <c r="B148" s="56" t="s">
        <v>1435</v>
      </c>
      <c r="C148" s="103">
        <v>750</v>
      </c>
      <c r="D148" s="103">
        <v>2000</v>
      </c>
      <c r="E148" s="103">
        <v>1860.85</v>
      </c>
      <c r="F148" s="91">
        <f t="shared" si="11"/>
        <v>93.04249999999999</v>
      </c>
      <c r="G148" s="91">
        <f>E148/C148*100</f>
        <v>248.11333333333332</v>
      </c>
    </row>
    <row r="149" spans="1:7" ht="17.25" customHeight="1">
      <c r="A149" s="51"/>
      <c r="B149" s="51" t="s">
        <v>1449</v>
      </c>
      <c r="C149" s="119">
        <f>C150+C151+C152+C153+C154+C155+C161+C162+C160+C163+C157</f>
        <v>254331.36999999997</v>
      </c>
      <c r="D149" s="119">
        <f>D150+D151+D152+D153+D154+D155+D161+D162+D160</f>
        <v>451018</v>
      </c>
      <c r="E149" s="119">
        <f>E150+E151+E152+E153+E154+E155+E161+E162+E160</f>
        <v>472703.62999999995</v>
      </c>
      <c r="F149" s="88">
        <f>E149/D149*100</f>
        <v>104.80815178108189</v>
      </c>
      <c r="G149" s="88">
        <f>E149/C149*100</f>
        <v>185.8613154956072</v>
      </c>
    </row>
    <row r="150" spans="1:7" ht="18" customHeight="1">
      <c r="A150" s="57">
        <v>3111</v>
      </c>
      <c r="B150" s="56" t="s">
        <v>1353</v>
      </c>
      <c r="C150" s="103">
        <v>174877.62</v>
      </c>
      <c r="D150" s="103">
        <f>121300+110660</f>
        <v>231960</v>
      </c>
      <c r="E150" s="103">
        <f>121298.14+122904.25</f>
        <v>244202.39</v>
      </c>
      <c r="F150" s="91">
        <f>E150/D150*100</f>
        <v>105.27780220727712</v>
      </c>
      <c r="G150" s="91">
        <f aca="true" t="shared" si="12" ref="G150:G162">E150/C150*100</f>
        <v>139.64187641620467</v>
      </c>
    </row>
    <row r="151" spans="1:7" ht="18" customHeight="1">
      <c r="A151" s="86">
        <v>3121</v>
      </c>
      <c r="B151" s="56" t="s">
        <v>1288</v>
      </c>
      <c r="C151" s="103">
        <v>3000</v>
      </c>
      <c r="D151" s="103">
        <f>3250+1500</f>
        <v>4750</v>
      </c>
      <c r="E151" s="103">
        <f>11650+3250+1500</f>
        <v>16400</v>
      </c>
      <c r="F151" s="91"/>
      <c r="G151" s="91"/>
    </row>
    <row r="152" spans="1:7" ht="15" customHeight="1">
      <c r="A152" s="57">
        <v>3132</v>
      </c>
      <c r="B152" s="56" t="s">
        <v>1324</v>
      </c>
      <c r="C152" s="103">
        <v>28854.8</v>
      </c>
      <c r="D152" s="103">
        <f>20000+18260</f>
        <v>38260</v>
      </c>
      <c r="E152" s="103">
        <f>20014.2+19160.64</f>
        <v>39174.84</v>
      </c>
      <c r="F152" s="91">
        <f aca="true" t="shared" si="13" ref="F152:F162">E152/D152*100</f>
        <v>102.39111343439622</v>
      </c>
      <c r="G152" s="91">
        <f t="shared" si="12"/>
        <v>135.76541857853806</v>
      </c>
    </row>
    <row r="153" spans="1:7" ht="15" customHeight="1">
      <c r="A153" s="57">
        <v>3211</v>
      </c>
      <c r="B153" s="56" t="s">
        <v>1264</v>
      </c>
      <c r="C153" s="103">
        <v>10865</v>
      </c>
      <c r="D153" s="103">
        <f>783+1580+5533+43440</f>
        <v>51336</v>
      </c>
      <c r="E153" s="103">
        <f>2173.82+5128+783.52+46892.04</f>
        <v>54977.380000000005</v>
      </c>
      <c r="F153" s="91">
        <f t="shared" si="13"/>
        <v>107.09322892317283</v>
      </c>
      <c r="G153" s="91">
        <f t="shared" si="12"/>
        <v>506.00441785549936</v>
      </c>
    </row>
    <row r="154" spans="1:7" ht="15" customHeight="1">
      <c r="A154" s="57">
        <v>3212</v>
      </c>
      <c r="B154" s="56" t="s">
        <v>1265</v>
      </c>
      <c r="C154" s="103">
        <v>1112.79</v>
      </c>
      <c r="D154" s="103">
        <f>1845+800</f>
        <v>2645</v>
      </c>
      <c r="E154" s="103">
        <f>1892.87+805.42</f>
        <v>2698.29</v>
      </c>
      <c r="F154" s="91"/>
      <c r="G154" s="91">
        <f t="shared" si="12"/>
        <v>242.47971315342517</v>
      </c>
    </row>
    <row r="155" spans="1:7" ht="15" customHeight="1">
      <c r="A155" s="57">
        <v>3213</v>
      </c>
      <c r="B155" s="56" t="s">
        <v>1266</v>
      </c>
      <c r="C155" s="103">
        <v>936.4</v>
      </c>
      <c r="D155" s="103">
        <f>6815+2340</f>
        <v>9155</v>
      </c>
      <c r="E155" s="103">
        <f>9453.47+2333.45-4597.8</f>
        <v>7189.119999999998</v>
      </c>
      <c r="F155" s="91">
        <f t="shared" si="13"/>
        <v>78.52670671764062</v>
      </c>
      <c r="G155" s="91">
        <f t="shared" si="12"/>
        <v>767.7402819307986</v>
      </c>
    </row>
    <row r="156" spans="1:7" ht="15" customHeight="1">
      <c r="A156" s="57">
        <v>3221</v>
      </c>
      <c r="B156" s="56" t="s">
        <v>1267</v>
      </c>
      <c r="C156" s="103"/>
      <c r="D156" s="103"/>
      <c r="E156" s="103"/>
      <c r="F156" s="91"/>
      <c r="G156" s="91"/>
    </row>
    <row r="157" spans="1:7" ht="15" customHeight="1">
      <c r="A157" s="57">
        <v>3222</v>
      </c>
      <c r="B157" s="56" t="s">
        <v>1268</v>
      </c>
      <c r="C157" s="103">
        <v>1673.86</v>
      </c>
      <c r="D157" s="103"/>
      <c r="E157" s="103"/>
      <c r="F157" s="91"/>
      <c r="G157" s="91"/>
    </row>
    <row r="158" spans="1:7" ht="15" customHeight="1">
      <c r="A158" s="57">
        <v>3224</v>
      </c>
      <c r="B158" s="56" t="s">
        <v>1270</v>
      </c>
      <c r="C158" s="103"/>
      <c r="D158" s="103"/>
      <c r="E158" s="103"/>
      <c r="F158" s="91"/>
      <c r="G158" s="91"/>
    </row>
    <row r="159" spans="1:7" ht="15" customHeight="1">
      <c r="A159" s="57">
        <v>3225</v>
      </c>
      <c r="B159" s="56" t="s">
        <v>1459</v>
      </c>
      <c r="C159" s="103"/>
      <c r="D159" s="103"/>
      <c r="E159" s="103"/>
      <c r="F159" s="91"/>
      <c r="G159" s="91"/>
    </row>
    <row r="160" spans="1:7" ht="15" customHeight="1">
      <c r="A160" s="57">
        <v>3235</v>
      </c>
      <c r="B160" s="56" t="s">
        <v>1275</v>
      </c>
      <c r="C160" s="103">
        <v>4757.81</v>
      </c>
      <c r="D160" s="103">
        <v>4850</v>
      </c>
      <c r="E160" s="103"/>
      <c r="F160" s="91"/>
      <c r="G160" s="91"/>
    </row>
    <row r="161" spans="1:7" ht="15" customHeight="1">
      <c r="A161" s="57">
        <v>3237</v>
      </c>
      <c r="B161" s="56" t="s">
        <v>1277</v>
      </c>
      <c r="C161" s="103"/>
      <c r="D161" s="103">
        <f>67792+36000</f>
        <v>103792</v>
      </c>
      <c r="E161" s="103">
        <f>67791.61+36000</f>
        <v>103791.61</v>
      </c>
      <c r="F161" s="91">
        <f t="shared" si="13"/>
        <v>99.999624248497</v>
      </c>
      <c r="G161" s="91" t="e">
        <f t="shared" si="12"/>
        <v>#DIV/0!</v>
      </c>
    </row>
    <row r="162" spans="1:7" ht="15" customHeight="1">
      <c r="A162" s="86" t="s">
        <v>1379</v>
      </c>
      <c r="B162" s="56" t="s">
        <v>1289</v>
      </c>
      <c r="C162" s="103">
        <v>5705</v>
      </c>
      <c r="D162" s="103">
        <v>4270</v>
      </c>
      <c r="E162" s="103">
        <f>4270</f>
        <v>4270</v>
      </c>
      <c r="F162" s="91">
        <f t="shared" si="13"/>
        <v>100</v>
      </c>
      <c r="G162" s="91">
        <f t="shared" si="12"/>
        <v>74.84662576687117</v>
      </c>
    </row>
    <row r="163" spans="1:7" ht="15" customHeight="1">
      <c r="A163" s="86">
        <v>4225</v>
      </c>
      <c r="B163" s="56" t="s">
        <v>1294</v>
      </c>
      <c r="C163" s="103">
        <v>22548.09</v>
      </c>
      <c r="D163" s="103"/>
      <c r="E163" s="103"/>
      <c r="F163" s="91"/>
      <c r="G163" s="91"/>
    </row>
    <row r="164" spans="1:7" ht="15" customHeight="1">
      <c r="A164" s="51"/>
      <c r="B164" s="51" t="s">
        <v>1451</v>
      </c>
      <c r="C164" s="119">
        <f>SUM(C165:C193)</f>
        <v>96765.14</v>
      </c>
      <c r="D164" s="119">
        <f>SUM(D165:D193)</f>
        <v>2041917</v>
      </c>
      <c r="E164" s="119">
        <f>SUM(E165:E193)</f>
        <v>2066950.47</v>
      </c>
      <c r="F164" s="88">
        <f>E164/D164*100</f>
        <v>101.22597882284148</v>
      </c>
      <c r="G164" s="88">
        <f>E164/C164*100</f>
        <v>2136.0486534716943</v>
      </c>
    </row>
    <row r="165" spans="1:7" ht="18" customHeight="1">
      <c r="A165" s="57">
        <v>3111</v>
      </c>
      <c r="B165" s="56" t="s">
        <v>1353</v>
      </c>
      <c r="C165" s="103"/>
      <c r="D165" s="103">
        <f>1256960-D150</f>
        <v>1025000</v>
      </c>
      <c r="E165" s="103">
        <v>1024632.69</v>
      </c>
      <c r="F165" s="91">
        <f>E165/D165*100</f>
        <v>99.96416487804878</v>
      </c>
      <c r="G165" s="91" t="e">
        <f aca="true" t="shared" si="14" ref="G165:G189">E165/C165*100</f>
        <v>#DIV/0!</v>
      </c>
    </row>
    <row r="166" spans="1:7" ht="18" customHeight="1">
      <c r="A166" s="86">
        <v>3121</v>
      </c>
      <c r="B166" s="56" t="s">
        <v>1288</v>
      </c>
      <c r="C166" s="103"/>
      <c r="D166" s="103">
        <f>35507-D151</f>
        <v>30757</v>
      </c>
      <c r="E166" s="103">
        <v>30756.9</v>
      </c>
      <c r="F166" s="91"/>
      <c r="G166" s="91"/>
    </row>
    <row r="167" spans="1:7" ht="15" customHeight="1">
      <c r="A167" s="57">
        <v>3132</v>
      </c>
      <c r="B167" s="56" t="s">
        <v>1324</v>
      </c>
      <c r="C167" s="103"/>
      <c r="D167" s="103">
        <f>204760-D152</f>
        <v>166500</v>
      </c>
      <c r="E167" s="103">
        <v>166383.35</v>
      </c>
      <c r="F167" s="91">
        <f aca="true" t="shared" si="15" ref="F167:F193">E167/D167*100</f>
        <v>99.92993993993994</v>
      </c>
      <c r="G167" s="91" t="e">
        <f t="shared" si="14"/>
        <v>#DIV/0!</v>
      </c>
    </row>
    <row r="168" spans="1:10" ht="15" customHeight="1">
      <c r="A168" s="57">
        <v>3211</v>
      </c>
      <c r="B168" s="56" t="s">
        <v>1264</v>
      </c>
      <c r="C168" s="103">
        <v>27769</v>
      </c>
      <c r="D168" s="103">
        <f>291336-D153</f>
        <v>240000</v>
      </c>
      <c r="E168" s="103">
        <v>264408.22</v>
      </c>
      <c r="F168" s="91">
        <f t="shared" si="15"/>
        <v>110.17009166666665</v>
      </c>
      <c r="G168" s="91">
        <f t="shared" si="14"/>
        <v>952.1704778710072</v>
      </c>
      <c r="J168" s="120"/>
    </row>
    <row r="169" spans="1:7" ht="15" customHeight="1">
      <c r="A169" s="57">
        <v>3212</v>
      </c>
      <c r="B169" s="56" t="s">
        <v>1265</v>
      </c>
      <c r="C169" s="103"/>
      <c r="D169" s="103">
        <f>21745-D154</f>
        <v>19100</v>
      </c>
      <c r="E169" s="103">
        <v>19096</v>
      </c>
      <c r="F169" s="91"/>
      <c r="G169" s="91"/>
    </row>
    <row r="170" spans="1:7" ht="15" customHeight="1">
      <c r="A170" s="57">
        <v>3213</v>
      </c>
      <c r="B170" s="56" t="s">
        <v>1266</v>
      </c>
      <c r="C170" s="103">
        <v>13669.86</v>
      </c>
      <c r="D170" s="103">
        <f>84155-D155</f>
        <v>75000</v>
      </c>
      <c r="E170" s="103">
        <v>66213.4</v>
      </c>
      <c r="F170" s="91">
        <f t="shared" si="15"/>
        <v>88.28453333333333</v>
      </c>
      <c r="G170" s="91">
        <f t="shared" si="14"/>
        <v>484.37511430256046</v>
      </c>
    </row>
    <row r="171" spans="1:7" ht="15" customHeight="1">
      <c r="A171" s="57">
        <v>3221</v>
      </c>
      <c r="B171" s="56" t="s">
        <v>1267</v>
      </c>
      <c r="C171" s="103">
        <v>203.82</v>
      </c>
      <c r="D171" s="103">
        <v>3000</v>
      </c>
      <c r="E171" s="103">
        <v>2561.35</v>
      </c>
      <c r="F171" s="91">
        <f t="shared" si="15"/>
        <v>85.37833333333333</v>
      </c>
      <c r="G171" s="91">
        <f t="shared" si="14"/>
        <v>1256.672554214503</v>
      </c>
    </row>
    <row r="172" spans="1:7" ht="15" customHeight="1">
      <c r="A172" s="57">
        <v>3222</v>
      </c>
      <c r="B172" s="56" t="s">
        <v>1268</v>
      </c>
      <c r="C172" s="103">
        <v>1558.23</v>
      </c>
      <c r="D172" s="103">
        <v>39960</v>
      </c>
      <c r="E172" s="103">
        <v>38546.36</v>
      </c>
      <c r="F172" s="91">
        <f t="shared" si="15"/>
        <v>96.46236236236237</v>
      </c>
      <c r="G172" s="91">
        <f t="shared" si="14"/>
        <v>2473.7272418064085</v>
      </c>
    </row>
    <row r="173" spans="1:7" ht="15" customHeight="1">
      <c r="A173" s="57">
        <v>3224</v>
      </c>
      <c r="B173" s="56" t="s">
        <v>1270</v>
      </c>
      <c r="C173" s="103">
        <v>238.8</v>
      </c>
      <c r="D173" s="103">
        <v>3000</v>
      </c>
      <c r="E173" s="103">
        <f>4902.6</f>
        <v>4902.6</v>
      </c>
      <c r="F173" s="91"/>
      <c r="G173" s="91"/>
    </row>
    <row r="174" spans="1:10" ht="15" customHeight="1">
      <c r="A174" s="57">
        <v>3225</v>
      </c>
      <c r="B174" s="56" t="s">
        <v>1420</v>
      </c>
      <c r="C174" s="103">
        <v>12720.55</v>
      </c>
      <c r="D174" s="103">
        <v>13000</v>
      </c>
      <c r="E174" s="103">
        <v>11518.04</v>
      </c>
      <c r="F174" s="91"/>
      <c r="G174" s="91"/>
      <c r="J174" s="120"/>
    </row>
    <row r="175" spans="1:7" ht="15" customHeight="1">
      <c r="A175" s="57">
        <v>3227</v>
      </c>
      <c r="B175" s="56" t="s">
        <v>1452</v>
      </c>
      <c r="C175" s="103"/>
      <c r="D175" s="103">
        <v>700</v>
      </c>
      <c r="E175" s="103">
        <v>692.61</v>
      </c>
      <c r="F175" s="91"/>
      <c r="G175" s="91"/>
    </row>
    <row r="176" spans="1:7" ht="15" customHeight="1">
      <c r="A176" s="57">
        <v>3231</v>
      </c>
      <c r="B176" s="56" t="s">
        <v>1271</v>
      </c>
      <c r="C176" s="103"/>
      <c r="D176" s="103">
        <v>3100</v>
      </c>
      <c r="E176" s="103">
        <v>3166.67</v>
      </c>
      <c r="F176" s="91"/>
      <c r="G176" s="91"/>
    </row>
    <row r="177" spans="1:7" ht="15" customHeight="1">
      <c r="A177" s="57">
        <v>3232</v>
      </c>
      <c r="B177" s="56" t="s">
        <v>1439</v>
      </c>
      <c r="C177" s="103">
        <v>4373.64</v>
      </c>
      <c r="D177" s="103">
        <v>12000</v>
      </c>
      <c r="E177" s="103">
        <v>11711.26</v>
      </c>
      <c r="F177" s="91"/>
      <c r="G177" s="91"/>
    </row>
    <row r="178" spans="1:7" ht="15" customHeight="1">
      <c r="A178" s="57">
        <v>3233</v>
      </c>
      <c r="B178" s="56" t="s">
        <v>1423</v>
      </c>
      <c r="C178" s="103">
        <v>1627.96</v>
      </c>
      <c r="D178" s="103">
        <v>72000</v>
      </c>
      <c r="E178" s="103">
        <v>86744.4</v>
      </c>
      <c r="F178" s="91">
        <f t="shared" si="15"/>
        <v>120.47833333333332</v>
      </c>
      <c r="G178" s="91">
        <f t="shared" si="14"/>
        <v>5328.411017469716</v>
      </c>
    </row>
    <row r="179" spans="1:7" ht="15" customHeight="1">
      <c r="A179" s="57">
        <v>3235</v>
      </c>
      <c r="B179" s="56" t="s">
        <v>1275</v>
      </c>
      <c r="C179" s="103"/>
      <c r="D179" s="103">
        <f>19250-D160</f>
        <v>14400</v>
      </c>
      <c r="E179" s="103">
        <v>20208.51</v>
      </c>
      <c r="F179" s="91">
        <f t="shared" si="15"/>
        <v>140.336875</v>
      </c>
      <c r="G179" s="91" t="e">
        <f t="shared" si="14"/>
        <v>#DIV/0!</v>
      </c>
    </row>
    <row r="180" spans="1:7" ht="15" customHeight="1">
      <c r="A180" s="57">
        <v>3237</v>
      </c>
      <c r="B180" s="56" t="s">
        <v>1277</v>
      </c>
      <c r="C180" s="103">
        <v>6041.6</v>
      </c>
      <c r="D180" s="103">
        <f>168792-D161</f>
        <v>65000</v>
      </c>
      <c r="E180" s="103">
        <f>166504.79-E161</f>
        <v>62713.18000000001</v>
      </c>
      <c r="F180" s="91">
        <f t="shared" si="15"/>
        <v>96.4818153846154</v>
      </c>
      <c r="G180" s="91">
        <f t="shared" si="14"/>
        <v>1038.0227092161017</v>
      </c>
    </row>
    <row r="181" spans="1:7" ht="15" customHeight="1">
      <c r="A181" s="57">
        <v>3238</v>
      </c>
      <c r="B181" s="56" t="s">
        <v>1278</v>
      </c>
      <c r="C181" s="103"/>
      <c r="D181" s="103">
        <v>4850</v>
      </c>
      <c r="E181" s="103">
        <v>4811.25</v>
      </c>
      <c r="F181" s="91"/>
      <c r="G181" s="91"/>
    </row>
    <row r="182" spans="1:7" ht="15" customHeight="1">
      <c r="A182" s="57">
        <v>3239</v>
      </c>
      <c r="B182" s="56" t="s">
        <v>1279</v>
      </c>
      <c r="C182" s="103">
        <v>3550</v>
      </c>
      <c r="D182" s="103">
        <v>7600</v>
      </c>
      <c r="E182" s="103">
        <v>7599</v>
      </c>
      <c r="F182" s="91">
        <f t="shared" si="15"/>
        <v>99.98684210526316</v>
      </c>
      <c r="G182" s="91">
        <f t="shared" si="14"/>
        <v>214.05633802816902</v>
      </c>
    </row>
    <row r="183" spans="1:7" ht="15" customHeight="1">
      <c r="A183" s="57">
        <v>3241</v>
      </c>
      <c r="B183" s="56" t="s">
        <v>1460</v>
      </c>
      <c r="C183" s="103">
        <v>2373.7</v>
      </c>
      <c r="D183" s="103">
        <v>40000</v>
      </c>
      <c r="E183" s="103">
        <v>34617.7</v>
      </c>
      <c r="F183" s="91">
        <f t="shared" si="15"/>
        <v>86.54424999999999</v>
      </c>
      <c r="G183" s="91">
        <f t="shared" si="14"/>
        <v>1458.3856426675654</v>
      </c>
    </row>
    <row r="184" spans="1:7" ht="15" customHeight="1">
      <c r="A184" s="86" t="s">
        <v>1379</v>
      </c>
      <c r="B184" s="56" t="s">
        <v>1289</v>
      </c>
      <c r="C184" s="103">
        <v>314</v>
      </c>
      <c r="D184" s="103">
        <f>7320-D162</f>
        <v>3050</v>
      </c>
      <c r="E184" s="103">
        <f>7982-4270</f>
        <v>3712</v>
      </c>
      <c r="F184" s="91">
        <f t="shared" si="15"/>
        <v>121.70491803278689</v>
      </c>
      <c r="G184" s="91">
        <f t="shared" si="14"/>
        <v>1182.1656050955414</v>
      </c>
    </row>
    <row r="185" spans="1:7" ht="15" customHeight="1">
      <c r="A185" s="86">
        <v>3294</v>
      </c>
      <c r="B185" s="56" t="s">
        <v>1281</v>
      </c>
      <c r="C185" s="103">
        <v>5311.94</v>
      </c>
      <c r="D185" s="103">
        <v>4220</v>
      </c>
      <c r="E185" s="103">
        <v>4219.49</v>
      </c>
      <c r="F185" s="91"/>
      <c r="G185" s="91"/>
    </row>
    <row r="186" spans="1:7" ht="15" customHeight="1">
      <c r="A186" s="86">
        <v>3299</v>
      </c>
      <c r="B186" s="56" t="s">
        <v>1283</v>
      </c>
      <c r="C186" s="103">
        <v>0</v>
      </c>
      <c r="D186" s="103">
        <v>26030</v>
      </c>
      <c r="E186" s="103">
        <v>26006.96</v>
      </c>
      <c r="F186" s="91">
        <f t="shared" si="15"/>
        <v>99.91148674606222</v>
      </c>
      <c r="G186" s="91" t="e">
        <f t="shared" si="14"/>
        <v>#DIV/0!</v>
      </c>
    </row>
    <row r="187" spans="1:7" ht="15" customHeight="1">
      <c r="A187" s="86">
        <v>3432</v>
      </c>
      <c r="B187" s="56" t="s">
        <v>1290</v>
      </c>
      <c r="C187" s="103">
        <v>82.78</v>
      </c>
      <c r="D187" s="103"/>
      <c r="E187" s="103"/>
      <c r="F187" s="91"/>
      <c r="G187" s="91"/>
    </row>
    <row r="188" spans="1:7" ht="15" customHeight="1">
      <c r="A188" s="86">
        <v>4123</v>
      </c>
      <c r="B188" s="56" t="s">
        <v>1434</v>
      </c>
      <c r="C188" s="103"/>
      <c r="D188" s="103">
        <v>17250</v>
      </c>
      <c r="E188" s="103">
        <v>17223.81</v>
      </c>
      <c r="F188" s="91">
        <f t="shared" si="15"/>
        <v>99.84817391304348</v>
      </c>
      <c r="G188" s="91"/>
    </row>
    <row r="189" spans="1:7" ht="15" customHeight="1">
      <c r="A189" s="57">
        <v>4221</v>
      </c>
      <c r="B189" s="56" t="s">
        <v>1285</v>
      </c>
      <c r="C189" s="103">
        <v>6712.5</v>
      </c>
      <c r="D189" s="103">
        <v>12800</v>
      </c>
      <c r="E189" s="103">
        <v>12789</v>
      </c>
      <c r="F189" s="91">
        <f t="shared" si="15"/>
        <v>99.9140625</v>
      </c>
      <c r="G189" s="91">
        <f t="shared" si="14"/>
        <v>190.52513966480447</v>
      </c>
    </row>
    <row r="190" spans="1:7" ht="15" customHeight="1">
      <c r="A190" s="57">
        <v>4224</v>
      </c>
      <c r="B190" s="56" t="s">
        <v>1440</v>
      </c>
      <c r="C190" s="103"/>
      <c r="D190" s="103">
        <v>16700</v>
      </c>
      <c r="E190" s="103">
        <v>16688.36</v>
      </c>
      <c r="F190" s="91">
        <f t="shared" si="15"/>
        <v>99.93029940119762</v>
      </c>
      <c r="G190" s="91"/>
    </row>
    <row r="191" spans="1:7" ht="15" customHeight="1">
      <c r="A191" s="57">
        <v>4225</v>
      </c>
      <c r="B191" s="56" t="s">
        <v>1294</v>
      </c>
      <c r="C191" s="103">
        <v>6408.28</v>
      </c>
      <c r="D191" s="103">
        <v>104400</v>
      </c>
      <c r="E191" s="103">
        <v>104323.25</v>
      </c>
      <c r="F191" s="91">
        <f t="shared" si="15"/>
        <v>99.9264846743295</v>
      </c>
      <c r="G191" s="91"/>
    </row>
    <row r="192" spans="1:7" ht="15" customHeight="1">
      <c r="A192" s="57">
        <v>4241</v>
      </c>
      <c r="B192" s="56" t="s">
        <v>1435</v>
      </c>
      <c r="C192" s="103">
        <v>3808.48</v>
      </c>
      <c r="D192" s="103">
        <v>15000</v>
      </c>
      <c r="E192" s="103">
        <v>13260.71</v>
      </c>
      <c r="F192" s="91">
        <f t="shared" si="15"/>
        <v>88.40473333333333</v>
      </c>
      <c r="G192" s="91"/>
    </row>
    <row r="193" spans="1:7" ht="15" customHeight="1">
      <c r="A193" s="57">
        <v>4262</v>
      </c>
      <c r="B193" s="56" t="s">
        <v>1453</v>
      </c>
      <c r="C193" s="103"/>
      <c r="D193" s="103">
        <v>7500</v>
      </c>
      <c r="E193" s="103">
        <v>7443.4</v>
      </c>
      <c r="F193" s="91">
        <f t="shared" si="15"/>
        <v>99.24533333333333</v>
      </c>
      <c r="G193" s="91"/>
    </row>
    <row r="194" spans="1:7" ht="15" customHeight="1">
      <c r="A194" s="51"/>
      <c r="B194" s="51" t="s">
        <v>1445</v>
      </c>
      <c r="C194" s="119">
        <f>SUM(C195:C196)</f>
        <v>0</v>
      </c>
      <c r="D194" s="119">
        <f>SUM(D195:D196)</f>
        <v>34900</v>
      </c>
      <c r="E194" s="119">
        <f>SUM(E195:E196)</f>
        <v>29671.76</v>
      </c>
      <c r="F194" s="88">
        <f>E194/D194*100</f>
        <v>85.01936962750716</v>
      </c>
      <c r="G194" s="88" t="e">
        <f>E194/C194*100</f>
        <v>#DIV/0!</v>
      </c>
    </row>
    <row r="195" spans="1:7" ht="15" customHeight="1">
      <c r="A195" s="57">
        <v>3239</v>
      </c>
      <c r="B195" s="56" t="s">
        <v>1279</v>
      </c>
      <c r="C195" s="103">
        <v>0</v>
      </c>
      <c r="D195" s="103">
        <v>5625</v>
      </c>
      <c r="E195" s="103">
        <v>5625</v>
      </c>
      <c r="F195" s="121">
        <f aca="true" t="shared" si="16" ref="F195:F209">E195/D195*100</f>
        <v>100</v>
      </c>
      <c r="G195" s="121" t="e">
        <f aca="true" t="shared" si="17" ref="G195:G209">E195/C195*100</f>
        <v>#DIV/0!</v>
      </c>
    </row>
    <row r="196" spans="1:7" ht="15" customHeight="1">
      <c r="A196" s="57">
        <v>3299</v>
      </c>
      <c r="B196" s="56" t="s">
        <v>1283</v>
      </c>
      <c r="C196" s="103">
        <v>0</v>
      </c>
      <c r="D196" s="103">
        <v>29275</v>
      </c>
      <c r="E196" s="103">
        <v>24046.76</v>
      </c>
      <c r="F196" s="121">
        <f t="shared" si="16"/>
        <v>82.14093936806148</v>
      </c>
      <c r="G196" s="121" t="e">
        <f t="shared" si="17"/>
        <v>#DIV/0!</v>
      </c>
    </row>
    <row r="197" spans="1:7" ht="15" customHeight="1">
      <c r="A197" s="51"/>
      <c r="B197" s="51" t="s">
        <v>1450</v>
      </c>
      <c r="C197" s="119">
        <f>SUM(C198:C211)</f>
        <v>138644.75</v>
      </c>
      <c r="D197" s="119">
        <f>SUM(D198:D209)</f>
        <v>386840</v>
      </c>
      <c r="E197" s="119">
        <f>SUM(E198:E209)</f>
        <v>393850.0300000001</v>
      </c>
      <c r="F197" s="88">
        <f t="shared" si="16"/>
        <v>101.8121264605522</v>
      </c>
      <c r="G197" s="88">
        <f t="shared" si="17"/>
        <v>284.0713622405465</v>
      </c>
    </row>
    <row r="198" spans="1:10" ht="15" customHeight="1">
      <c r="A198" s="57">
        <v>3111</v>
      </c>
      <c r="B198" s="56" t="s">
        <v>1353</v>
      </c>
      <c r="C198" s="103">
        <v>50053.52</v>
      </c>
      <c r="D198" s="103">
        <v>250000</v>
      </c>
      <c r="E198" s="103">
        <v>249926.44</v>
      </c>
      <c r="F198" s="122">
        <f t="shared" si="16"/>
        <v>99.970576</v>
      </c>
      <c r="G198" s="122">
        <f t="shared" si="17"/>
        <v>499.31840957439164</v>
      </c>
      <c r="J198" s="120"/>
    </row>
    <row r="199" spans="1:10" ht="15" customHeight="1">
      <c r="A199" s="57">
        <v>3121</v>
      </c>
      <c r="B199" s="56" t="s">
        <v>1288</v>
      </c>
      <c r="C199" s="103">
        <v>3000</v>
      </c>
      <c r="D199" s="103">
        <v>3000</v>
      </c>
      <c r="E199" s="103">
        <v>12500</v>
      </c>
      <c r="F199" s="122">
        <f t="shared" si="16"/>
        <v>416.6666666666667</v>
      </c>
      <c r="G199" s="122">
        <f t="shared" si="17"/>
        <v>416.6666666666667</v>
      </c>
      <c r="J199" s="120"/>
    </row>
    <row r="200" spans="1:7" ht="15" customHeight="1">
      <c r="A200" s="57">
        <v>3132</v>
      </c>
      <c r="B200" s="56" t="s">
        <v>1324</v>
      </c>
      <c r="C200" s="103"/>
      <c r="D200" s="103">
        <v>9200</v>
      </c>
      <c r="E200" s="103">
        <v>9174.18</v>
      </c>
      <c r="F200" s="122">
        <f t="shared" si="16"/>
        <v>99.71934782608696</v>
      </c>
      <c r="G200" s="122" t="e">
        <f t="shared" si="17"/>
        <v>#DIV/0!</v>
      </c>
    </row>
    <row r="201" spans="1:10" ht="15" customHeight="1">
      <c r="A201" s="57">
        <v>3211</v>
      </c>
      <c r="B201" s="56" t="s">
        <v>1264</v>
      </c>
      <c r="C201" s="103"/>
      <c r="D201" s="103">
        <v>17000</v>
      </c>
      <c r="E201" s="103">
        <v>14577.09</v>
      </c>
      <c r="F201" s="122">
        <f t="shared" si="16"/>
        <v>85.74758823529412</v>
      </c>
      <c r="G201" s="122" t="e">
        <f t="shared" si="17"/>
        <v>#DIV/0!</v>
      </c>
      <c r="J201" s="120"/>
    </row>
    <row r="202" spans="1:7" ht="15" customHeight="1">
      <c r="A202" s="57">
        <v>3212</v>
      </c>
      <c r="B202" s="56" t="s">
        <v>1265</v>
      </c>
      <c r="C202" s="103">
        <v>528.1</v>
      </c>
      <c r="D202" s="103">
        <v>2700</v>
      </c>
      <c r="E202" s="103">
        <v>2690.7</v>
      </c>
      <c r="F202" s="122">
        <f t="shared" si="16"/>
        <v>99.65555555555555</v>
      </c>
      <c r="G202" s="122">
        <f t="shared" si="17"/>
        <v>509.5057754213217</v>
      </c>
    </row>
    <row r="203" spans="1:7" ht="15" customHeight="1">
      <c r="A203" s="57">
        <v>3213</v>
      </c>
      <c r="B203" s="56" t="s">
        <v>1266</v>
      </c>
      <c r="C203" s="103"/>
      <c r="D203" s="103">
        <v>3230</v>
      </c>
      <c r="E203" s="103">
        <v>3228.96</v>
      </c>
      <c r="F203" s="122">
        <f t="shared" si="16"/>
        <v>99.96780185758513</v>
      </c>
      <c r="G203" s="122" t="e">
        <f t="shared" si="17"/>
        <v>#DIV/0!</v>
      </c>
    </row>
    <row r="204" spans="1:7" ht="15" customHeight="1">
      <c r="A204" s="57">
        <v>3221</v>
      </c>
      <c r="B204" s="56" t="s">
        <v>1267</v>
      </c>
      <c r="C204" s="103">
        <v>305.4</v>
      </c>
      <c r="D204" s="103"/>
      <c r="E204" s="103"/>
      <c r="F204" s="122"/>
      <c r="G204" s="122"/>
    </row>
    <row r="205" spans="1:7" ht="15" customHeight="1">
      <c r="A205" s="57">
        <v>3222</v>
      </c>
      <c r="B205" s="56" t="s">
        <v>1446</v>
      </c>
      <c r="C205" s="103"/>
      <c r="D205" s="103">
        <v>43230</v>
      </c>
      <c r="E205" s="103">
        <v>43231.97</v>
      </c>
      <c r="F205" s="122">
        <f t="shared" si="16"/>
        <v>100.00455702058755</v>
      </c>
      <c r="G205" s="122" t="e">
        <f t="shared" si="17"/>
        <v>#DIV/0!</v>
      </c>
    </row>
    <row r="206" spans="1:7" ht="15" customHeight="1">
      <c r="A206" s="57">
        <v>3224</v>
      </c>
      <c r="B206" s="56" t="s">
        <v>1447</v>
      </c>
      <c r="C206" s="103"/>
      <c r="D206" s="103">
        <v>12000</v>
      </c>
      <c r="E206" s="103">
        <v>12054</v>
      </c>
      <c r="F206" s="122">
        <f t="shared" si="16"/>
        <v>100.44999999999999</v>
      </c>
      <c r="G206" s="122" t="e">
        <f t="shared" si="17"/>
        <v>#DIV/0!</v>
      </c>
    </row>
    <row r="207" spans="1:7" ht="15" customHeight="1">
      <c r="A207" s="57">
        <v>3232</v>
      </c>
      <c r="B207" s="56" t="s">
        <v>1272</v>
      </c>
      <c r="C207" s="103">
        <v>29032.99</v>
      </c>
      <c r="D207" s="103">
        <v>29100</v>
      </c>
      <c r="E207" s="103">
        <v>29112.5</v>
      </c>
      <c r="F207" s="122">
        <f t="shared" si="16"/>
        <v>100.04295532646049</v>
      </c>
      <c r="G207" s="122">
        <f t="shared" si="17"/>
        <v>100.27386087344085</v>
      </c>
    </row>
    <row r="208" spans="1:7" ht="15" customHeight="1">
      <c r="A208" s="57">
        <v>3233</v>
      </c>
      <c r="B208" s="56" t="s">
        <v>1448</v>
      </c>
      <c r="C208" s="103"/>
      <c r="D208" s="103">
        <v>17180</v>
      </c>
      <c r="E208" s="103">
        <v>17159.19</v>
      </c>
      <c r="F208" s="122">
        <f t="shared" si="16"/>
        <v>99.87887077997671</v>
      </c>
      <c r="G208" s="122" t="e">
        <f t="shared" si="17"/>
        <v>#DIV/0!</v>
      </c>
    </row>
    <row r="209" spans="1:7" ht="15" customHeight="1">
      <c r="A209" s="57">
        <v>3293</v>
      </c>
      <c r="B209" s="56" t="s">
        <v>1289</v>
      </c>
      <c r="C209" s="103"/>
      <c r="D209" s="103">
        <v>200</v>
      </c>
      <c r="E209" s="103">
        <v>195</v>
      </c>
      <c r="F209" s="122">
        <f t="shared" si="16"/>
        <v>97.5</v>
      </c>
      <c r="G209" s="122" t="e">
        <f t="shared" si="17"/>
        <v>#DIV/0!</v>
      </c>
    </row>
    <row r="210" spans="1:7" ht="15" customHeight="1">
      <c r="A210" s="57">
        <v>4123</v>
      </c>
      <c r="B210" s="56" t="s">
        <v>1434</v>
      </c>
      <c r="C210" s="103">
        <v>33120.76</v>
      </c>
      <c r="D210" s="103"/>
      <c r="E210" s="103"/>
      <c r="F210" s="122"/>
      <c r="G210" s="122"/>
    </row>
    <row r="211" spans="1:7" ht="15" customHeight="1">
      <c r="A211" s="57">
        <v>4221</v>
      </c>
      <c r="B211" s="56" t="s">
        <v>1285</v>
      </c>
      <c r="C211" s="103">
        <v>22603.98</v>
      </c>
      <c r="D211" s="103"/>
      <c r="E211" s="103"/>
      <c r="F211" s="122"/>
      <c r="G211" s="122"/>
    </row>
    <row r="212" spans="1:7" ht="15" customHeight="1">
      <c r="A212" s="47"/>
      <c r="B212" s="47" t="s">
        <v>1405</v>
      </c>
      <c r="C212" s="89">
        <f>C149+C113+C72+C57+C16+C7+C194+C197+C164+C49</f>
        <v>23302225.25</v>
      </c>
      <c r="D212" s="89">
        <f>D149+D113+D72+D57+D16+D7+D194+D197+D164+D49</f>
        <v>25651476</v>
      </c>
      <c r="E212" s="89">
        <f>E149+E113+E72+E57+E16+E7+E194+E197+E164+E49</f>
        <v>25299853.94</v>
      </c>
      <c r="F212" s="89">
        <f>E212/D212*100</f>
        <v>98.62923264142773</v>
      </c>
      <c r="G212" s="89">
        <f>E212/C212*100</f>
        <v>108.5726949618256</v>
      </c>
    </row>
    <row r="214" ht="15">
      <c r="C214" s="85"/>
    </row>
    <row r="216" ht="15">
      <c r="C216" s="84"/>
    </row>
  </sheetData>
  <sheetProtection/>
  <mergeCells count="2">
    <mergeCell ref="B1:G1"/>
    <mergeCell ref="A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  <rowBreaks count="1" manualBreakCount="1">
    <brk id="6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Vladimirka Telenta</dc:creator>
  <cp:keywords/>
  <dc:description/>
  <cp:lastModifiedBy>Robert Brušnjak</cp:lastModifiedBy>
  <cp:lastPrinted>2023-04-11T12:05:48Z</cp:lastPrinted>
  <dcterms:created xsi:type="dcterms:W3CDTF">2015-03-27T08:41:49Z</dcterms:created>
  <dcterms:modified xsi:type="dcterms:W3CDTF">2023-04-26T12:45:17Z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0x010100003CF1CC19DF524CA42A994CB1BA0998</vt:lpwstr>
  </property>
</Properties>
</file>